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S:\04_Akce_příprava\Správa tratí\2025\Mechanické a chemické hubení nežádoucí vegetace u ST OŘ UNL 2025\"/>
    </mc:Choice>
  </mc:AlternateContent>
  <xr:revisionPtr revIDLastSave="0" documentId="13_ncr:1_{D9ADD7DA-F413-47E6-A0BE-9CCE6E17FAD6}" xr6:coauthVersionLast="36" xr6:coauthVersionMax="36" xr10:uidLastSave="{00000000-0000-0000-0000-000000000000}"/>
  <bookViews>
    <workbookView xWindow="0" yWindow="0" windowWidth="28800" windowHeight="11820" tabRatio="754" xr2:uid="{00000000-000D-0000-FFFF-FFFF00000000}"/>
  </bookViews>
  <sheets>
    <sheet name="Rekapitulace" sheetId="1" r:id="rId1"/>
    <sheet name="3. kolo" sheetId="13" r:id="rId2"/>
    <sheet name="TO Roudnice n.L. 1.a 2.kolo" sheetId="2" r:id="rId3"/>
    <sheet name="TO Lovosice 1.a 2. kolo" sheetId="3" r:id="rId4"/>
    <sheet name="TO Litoměřice 1.a 2. kolo" sheetId="9" r:id="rId5"/>
    <sheet name="TO Ústí n.L. západ 1.a 2. kolo" sheetId="7" r:id="rId6"/>
    <sheet name="TO Ústí n.L. Hl.n. 1.a 2. kolo" sheetId="4" r:id="rId7"/>
    <sheet name="TO Děčín hl.n. 1.a 2. kolo" sheetId="5" r:id="rId8"/>
    <sheet name="TO Děčín východ 1.a 2. kolo" sheetId="10" r:id="rId9"/>
    <sheet name="TO Česká Kamenice 1.a 2. kolo" sheetId="11" r:id="rId10"/>
    <sheet name="TO Rumburk 1.a 2. kolo" sheetId="12" r:id="rId11"/>
  </sheets>
  <definedNames>
    <definedName name="_xlnm._FilterDatabase" localSheetId="9" hidden="1">'TO Česká Kamenice 1.a 2. kolo'!$B$1:$O$116</definedName>
    <definedName name="_xlnm._FilterDatabase" localSheetId="7" hidden="1">'TO Děčín hl.n. 1.a 2. kolo'!$B$1:$M$150</definedName>
    <definedName name="_xlnm._FilterDatabase" localSheetId="8" hidden="1">'TO Děčín východ 1.a 2. kolo'!$B$1:$M$114</definedName>
    <definedName name="_xlnm._FilterDatabase" localSheetId="4" hidden="1">'TO Litoměřice 1.a 2. kolo'!$B$1:$M$95</definedName>
    <definedName name="_xlnm._FilterDatabase" localSheetId="3" hidden="1">'TO Lovosice 1.a 2. kolo'!$B$1:$P$162</definedName>
    <definedName name="_xlnm._FilterDatabase" localSheetId="2" hidden="1">'TO Roudnice n.L. 1.a 2.kolo'!$B$1:$M$99</definedName>
    <definedName name="_xlnm._FilterDatabase" localSheetId="10" hidden="1">'TO Rumburk 1.a 2. kolo'!$B$1:$M$93</definedName>
    <definedName name="_xlnm._FilterDatabase" localSheetId="6" hidden="1">'TO Ústí n.L. Hl.n. 1.a 2. kolo'!$B$1:$M$60</definedName>
    <definedName name="_xlnm._FilterDatabase" localSheetId="5" hidden="1">'TO Ústí n.L. západ 1.a 2. kolo'!$B$1:$M$145</definedName>
    <definedName name="_xlnm.Print_Area" localSheetId="9">'TO Česká Kamenice 1.a 2. kolo'!$B$2:$M$47,'TO Česká Kamenice 1.a 2. kolo'!$B$50:$M$113</definedName>
    <definedName name="_xlnm.Print_Area" localSheetId="7">'TO Děčín hl.n. 1.a 2. kolo'!$B$2:$M$62,'TO Děčín hl.n. 1.a 2. kolo'!$B$65:$M$107,'TO Děčín hl.n. 1.a 2. kolo'!$B$110:$M$150</definedName>
    <definedName name="_xlnm.Print_Area" localSheetId="8">'TO Děčín východ 1.a 2. kolo'!$B$2:$M$52,'TO Děčín východ 1.a 2. kolo'!$B$54:$M$114</definedName>
    <definedName name="_xlnm.Print_Area" localSheetId="4">'TO Litoměřice 1.a 2. kolo'!$B$39:$M$79,'TO Litoměřice 1.a 2. kolo'!$B$81:$M$92</definedName>
    <definedName name="_xlnm.Print_Area" localSheetId="3">'TO Lovosice 1.a 2. kolo'!$B$2:$M$48,'TO Lovosice 1.a 2. kolo'!$B$51:$M$162</definedName>
    <definedName name="_xlnm.Print_Area" localSheetId="2">'TO Roudnice n.L. 1.a 2.kolo'!$B$2:$M$56,'TO Roudnice n.L. 1.a 2.kolo'!$B$59:$M$96</definedName>
    <definedName name="_xlnm.Print_Area" localSheetId="10">'TO Rumburk 1.a 2. kolo'!$B$2:$M$35,'TO Rumburk 1.a 2. kolo'!$B$37:$M$92</definedName>
    <definedName name="_xlnm.Print_Area" localSheetId="6">'TO Ústí n.L. Hl.n. 1.a 2. kolo'!$B$2:$M$60</definedName>
    <definedName name="_xlnm.Print_Area" localSheetId="5">'TO Ústí n.L. západ 1.a 2. kolo'!$B$2:$M$64,'TO Ústí n.L. západ 1.a 2. kolo'!$B$66:$M$101,'TO Ústí n.L. západ 1.a 2. kolo'!$B$103:$M$144</definedName>
  </definedNames>
  <calcPr calcId="191029"/>
</workbook>
</file>

<file path=xl/calcChain.xml><?xml version="1.0" encoding="utf-8"?>
<calcChain xmlns="http://schemas.openxmlformats.org/spreadsheetml/2006/main">
  <c r="G39" i="13" l="1"/>
  <c r="G36" i="13"/>
  <c r="G35" i="13"/>
  <c r="G34" i="13"/>
  <c r="G33" i="13"/>
  <c r="G32" i="13"/>
  <c r="G31" i="13"/>
  <c r="G30" i="13"/>
  <c r="G29" i="13"/>
  <c r="G28" i="13"/>
  <c r="G27" i="13"/>
  <c r="G26" i="13"/>
  <c r="G25" i="13"/>
  <c r="G24" i="13"/>
  <c r="G23" i="13"/>
  <c r="G22" i="13"/>
  <c r="G21" i="13"/>
  <c r="G20" i="13"/>
  <c r="G19" i="13"/>
  <c r="G18" i="13"/>
  <c r="G17" i="13"/>
  <c r="G15" i="13"/>
  <c r="G14" i="13"/>
  <c r="G13" i="13"/>
  <c r="G12" i="13"/>
  <c r="G11" i="13"/>
  <c r="G10" i="13"/>
  <c r="G9" i="13"/>
  <c r="G8" i="13"/>
  <c r="G7" i="13"/>
  <c r="G6" i="13"/>
  <c r="G5" i="13"/>
  <c r="G40" i="13" s="1"/>
  <c r="D23" i="1"/>
  <c r="D7" i="1"/>
  <c r="C12" i="1" l="1"/>
  <c r="G58" i="4" l="1"/>
  <c r="F58" i="4"/>
  <c r="G56" i="4" l="1"/>
  <c r="F56" i="4"/>
  <c r="E15" i="1" l="1"/>
  <c r="K91" i="12"/>
  <c r="K114" i="11"/>
  <c r="J112" i="3"/>
  <c r="K112" i="3"/>
  <c r="J109" i="10" l="1"/>
  <c r="F154" i="3"/>
  <c r="F142" i="3"/>
  <c r="F135" i="3"/>
  <c r="F128" i="3"/>
  <c r="M88" i="12" l="1"/>
  <c r="M111" i="11"/>
  <c r="M87" i="12"/>
  <c r="M110" i="11"/>
  <c r="M149" i="5"/>
  <c r="D14" i="1" l="1"/>
  <c r="C14" i="1"/>
  <c r="D11" i="1"/>
  <c r="C11" i="1"/>
  <c r="K87" i="12"/>
  <c r="J87" i="12"/>
  <c r="K110" i="11"/>
  <c r="D13" i="1" s="1"/>
  <c r="J110" i="11"/>
  <c r="C13" i="1" s="1"/>
  <c r="K149" i="5"/>
  <c r="J149" i="5"/>
  <c r="J58" i="4"/>
  <c r="K143" i="7"/>
  <c r="D9" i="1" s="1"/>
  <c r="J143" i="7"/>
  <c r="M143" i="7" s="1"/>
  <c r="J90" i="9"/>
  <c r="C8" i="1" s="1"/>
  <c r="J91" i="2"/>
  <c r="C6" i="1" s="1"/>
  <c r="C10" i="1" l="1"/>
  <c r="C9" i="1"/>
  <c r="K96" i="12"/>
  <c r="K88" i="12"/>
  <c r="J88" i="12"/>
  <c r="K119" i="11"/>
  <c r="K111" i="11"/>
  <c r="J111" i="11"/>
  <c r="J110" i="10"/>
  <c r="K46" i="10"/>
  <c r="K37" i="10"/>
  <c r="K29" i="10"/>
  <c r="K113" i="10" s="1"/>
  <c r="K7" i="10"/>
  <c r="K109" i="10" s="1"/>
  <c r="K150" i="5"/>
  <c r="J150" i="5"/>
  <c r="K158" i="5"/>
  <c r="K147" i="5"/>
  <c r="K140" i="5"/>
  <c r="K126" i="5"/>
  <c r="K15" i="5"/>
  <c r="J92" i="2"/>
  <c r="K144" i="7"/>
  <c r="J59" i="4"/>
  <c r="K57" i="4"/>
  <c r="K17" i="4"/>
  <c r="K8" i="4"/>
  <c r="J144" i="7"/>
  <c r="J91" i="9"/>
  <c r="K81" i="9"/>
  <c r="K54" i="9"/>
  <c r="K34" i="9"/>
  <c r="K25" i="9"/>
  <c r="K15" i="9"/>
  <c r="C15" i="1" l="1"/>
  <c r="K59" i="4"/>
  <c r="K60" i="4" s="1"/>
  <c r="K61" i="4" s="1"/>
  <c r="K66" i="4" s="1"/>
  <c r="K58" i="4"/>
  <c r="K91" i="9"/>
  <c r="K92" i="9" s="1"/>
  <c r="K93" i="9" s="1"/>
  <c r="K94" i="9"/>
  <c r="K99" i="9" s="1"/>
  <c r="J36" i="9"/>
  <c r="M91" i="9"/>
  <c r="K90" i="9"/>
  <c r="M109" i="10"/>
  <c r="D12" i="1"/>
  <c r="M110" i="10"/>
  <c r="K110" i="10"/>
  <c r="K111" i="10" s="1"/>
  <c r="K112" i="10" s="1"/>
  <c r="K119" i="10" s="1"/>
  <c r="K118" i="10"/>
  <c r="K89" i="12"/>
  <c r="K90" i="12" s="1"/>
  <c r="K112" i="11"/>
  <c r="K113" i="11" s="1"/>
  <c r="K120" i="11" s="1"/>
  <c r="K151" i="5"/>
  <c r="K152" i="5" s="1"/>
  <c r="K157" i="5" s="1"/>
  <c r="K67" i="4"/>
  <c r="K145" i="7"/>
  <c r="K146" i="7" s="1"/>
  <c r="J106" i="3"/>
  <c r="K54" i="2"/>
  <c r="K40" i="2"/>
  <c r="K18" i="2"/>
  <c r="K8" i="2"/>
  <c r="K26" i="3"/>
  <c r="K16" i="3"/>
  <c r="K156" i="3" s="1"/>
  <c r="K68" i="4" l="1"/>
  <c r="D10" i="1"/>
  <c r="M58" i="4"/>
  <c r="D8" i="1"/>
  <c r="M90" i="9"/>
  <c r="J156" i="3"/>
  <c r="J157" i="3"/>
  <c r="K56" i="2"/>
  <c r="K92" i="2"/>
  <c r="K91" i="2"/>
  <c r="K97" i="12"/>
  <c r="K95" i="12"/>
  <c r="K157" i="3"/>
  <c r="K118" i="11"/>
  <c r="K117" i="10"/>
  <c r="K159" i="5"/>
  <c r="K100" i="9"/>
  <c r="K98" i="9"/>
  <c r="K153" i="7"/>
  <c r="K151" i="7"/>
  <c r="K147" i="7"/>
  <c r="K158" i="3" l="1"/>
  <c r="K159" i="3" s="1"/>
  <c r="K160" i="3" s="1"/>
  <c r="K165" i="3" s="1"/>
  <c r="C7" i="1"/>
  <c r="M156" i="3"/>
  <c r="D6" i="1"/>
  <c r="M91" i="2"/>
  <c r="K152" i="7"/>
  <c r="K93" i="2"/>
  <c r="K94" i="2" s="1"/>
  <c r="K95" i="2" s="1"/>
  <c r="K100" i="2" s="1"/>
  <c r="D21" i="1" s="1"/>
  <c r="D22" i="1" s="1"/>
  <c r="K164" i="3" l="1"/>
  <c r="K166" i="3"/>
  <c r="M92" i="2"/>
  <c r="C27" i="1"/>
  <c r="D27" i="1" s="1"/>
  <c r="D19" i="1"/>
  <c r="C19" i="1"/>
  <c r="K101" i="2"/>
  <c r="K99" i="2"/>
  <c r="C21" i="1" s="1"/>
  <c r="C22" i="1" s="1"/>
  <c r="C23" i="1" s="1"/>
  <c r="E17" i="1" s="1"/>
  <c r="G46" i="10"/>
  <c r="F46" i="10"/>
  <c r="G37" i="10"/>
  <c r="F37" i="10"/>
  <c r="G29" i="10"/>
  <c r="F29" i="10"/>
  <c r="G147" i="5"/>
  <c r="F147" i="5"/>
  <c r="G140" i="5"/>
  <c r="F140" i="5"/>
  <c r="G126" i="5"/>
  <c r="F126" i="5"/>
  <c r="G15" i="5"/>
  <c r="G149" i="5" s="1"/>
  <c r="F15" i="5"/>
  <c r="F149" i="5" s="1"/>
  <c r="G57" i="4"/>
  <c r="F57" i="4"/>
  <c r="G34" i="4"/>
  <c r="F34" i="4"/>
  <c r="G25" i="4"/>
  <c r="F25" i="4"/>
  <c r="G17" i="4"/>
  <c r="F17" i="4"/>
  <c r="G16" i="4"/>
  <c r="F16" i="4"/>
  <c r="G8" i="4"/>
  <c r="F8" i="4"/>
  <c r="G154" i="3"/>
  <c r="G142" i="3"/>
  <c r="G135" i="3"/>
  <c r="G128" i="3"/>
  <c r="G26" i="3"/>
  <c r="F26" i="3"/>
  <c r="G16" i="3"/>
  <c r="F16" i="3"/>
  <c r="G54" i="2"/>
  <c r="F54" i="2"/>
  <c r="G40" i="2"/>
  <c r="F40" i="2"/>
  <c r="G18" i="2"/>
  <c r="F18" i="2"/>
  <c r="G8" i="2"/>
  <c r="F8" i="2"/>
  <c r="G106" i="3"/>
  <c r="G110" i="3" s="1"/>
  <c r="F106" i="3"/>
  <c r="F110" i="3" s="1"/>
  <c r="G14" i="5"/>
  <c r="F14" i="5"/>
  <c r="G108" i="11"/>
  <c r="F108" i="11"/>
  <c r="F14" i="9"/>
  <c r="G14" i="9"/>
  <c r="F15" i="9"/>
  <c r="G15" i="9"/>
  <c r="F24" i="9"/>
  <c r="G24" i="9"/>
  <c r="F25" i="9"/>
  <c r="G25" i="9"/>
  <c r="F33" i="9"/>
  <c r="G33" i="9"/>
  <c r="F34" i="9"/>
  <c r="G34" i="9"/>
  <c r="F79" i="9"/>
  <c r="G65" i="12"/>
  <c r="F65" i="12"/>
  <c r="G87" i="11"/>
  <c r="G23" i="11"/>
  <c r="G130" i="7"/>
  <c r="F130" i="7"/>
  <c r="G74" i="2"/>
  <c r="G108" i="10"/>
  <c r="F108" i="10"/>
  <c r="G98" i="10"/>
  <c r="F98" i="10"/>
  <c r="G7" i="10"/>
  <c r="G81" i="9"/>
  <c r="F81" i="9"/>
  <c r="G54" i="9"/>
  <c r="G83" i="12"/>
  <c r="G74" i="12"/>
  <c r="G56" i="12"/>
  <c r="G49" i="12"/>
  <c r="G33" i="12"/>
  <c r="G27" i="12"/>
  <c r="G91" i="12" s="1"/>
  <c r="G14" i="12"/>
  <c r="G75" i="11"/>
  <c r="G63" i="11"/>
  <c r="G45" i="11"/>
  <c r="G37" i="11"/>
  <c r="G30" i="11"/>
  <c r="G17" i="11"/>
  <c r="G45" i="10"/>
  <c r="G36" i="10"/>
  <c r="G28" i="10"/>
  <c r="G146" i="5"/>
  <c r="G139" i="5"/>
  <c r="G124" i="5"/>
  <c r="G104" i="5"/>
  <c r="G93" i="5"/>
  <c r="G60" i="5"/>
  <c r="G141" i="7"/>
  <c r="G99" i="7"/>
  <c r="G62" i="7"/>
  <c r="G143" i="7" s="1"/>
  <c r="G87" i="12"/>
  <c r="G89" i="9"/>
  <c r="G79" i="9"/>
  <c r="G68" i="9"/>
  <c r="G53" i="9"/>
  <c r="G43" i="3"/>
  <c r="G39" i="3"/>
  <c r="G25" i="3"/>
  <c r="G15" i="3"/>
  <c r="G88" i="2"/>
  <c r="G53" i="2"/>
  <c r="G39" i="2"/>
  <c r="G17" i="2"/>
  <c r="F74" i="2"/>
  <c r="F62" i="7"/>
  <c r="F141" i="7"/>
  <c r="F99" i="7"/>
  <c r="F15" i="1"/>
  <c r="F87" i="11"/>
  <c r="F110" i="11" s="1"/>
  <c r="F75" i="11"/>
  <c r="F63" i="11"/>
  <c r="F7" i="10"/>
  <c r="F54" i="9"/>
  <c r="F45" i="11"/>
  <c r="F37" i="11"/>
  <c r="F30" i="11"/>
  <c r="F23" i="11"/>
  <c r="F17" i="11"/>
  <c r="F83" i="12"/>
  <c r="F74" i="12"/>
  <c r="F56" i="12"/>
  <c r="F49" i="12"/>
  <c r="F33" i="12"/>
  <c r="F27" i="12"/>
  <c r="F14" i="12"/>
  <c r="F45" i="10"/>
  <c r="F36" i="10"/>
  <c r="F28" i="10"/>
  <c r="F89" i="9"/>
  <c r="F68" i="9"/>
  <c r="F53" i="9"/>
  <c r="F104" i="5"/>
  <c r="F93" i="5"/>
  <c r="F146" i="5"/>
  <c r="F139" i="5"/>
  <c r="F124" i="5"/>
  <c r="F60" i="5"/>
  <c r="F88" i="2"/>
  <c r="F53" i="2"/>
  <c r="F39" i="2"/>
  <c r="F17" i="2"/>
  <c r="F43" i="3"/>
  <c r="F39" i="3"/>
  <c r="F25" i="3"/>
  <c r="F15" i="3"/>
  <c r="G113" i="10" l="1"/>
  <c r="F94" i="9"/>
  <c r="G91" i="9"/>
  <c r="F158" i="3"/>
  <c r="F159" i="3"/>
  <c r="G159" i="3"/>
  <c r="F143" i="7"/>
  <c r="F145" i="7" s="1"/>
  <c r="F109" i="10"/>
  <c r="F91" i="12"/>
  <c r="G88" i="12"/>
  <c r="F87" i="12"/>
  <c r="G115" i="11"/>
  <c r="F115" i="11"/>
  <c r="G109" i="10"/>
  <c r="G114" i="10" s="1"/>
  <c r="F113" i="10"/>
  <c r="G60" i="4"/>
  <c r="F60" i="4"/>
  <c r="F91" i="9"/>
  <c r="F90" i="9"/>
  <c r="G91" i="2"/>
  <c r="F91" i="2"/>
  <c r="F96" i="2" s="1"/>
  <c r="F95" i="2"/>
  <c r="F116" i="11"/>
  <c r="G145" i="7"/>
  <c r="G156" i="3"/>
  <c r="F92" i="12"/>
  <c r="F92" i="2"/>
  <c r="G158" i="3"/>
  <c r="G161" i="3"/>
  <c r="G90" i="9"/>
  <c r="G89" i="12"/>
  <c r="F110" i="10"/>
  <c r="F156" i="3"/>
  <c r="G95" i="2"/>
  <c r="G94" i="9"/>
  <c r="F161" i="3"/>
  <c r="G110" i="11"/>
  <c r="G92" i="2"/>
  <c r="G92" i="12"/>
  <c r="F112" i="11"/>
  <c r="F113" i="11" s="1"/>
  <c r="F88" i="12"/>
  <c r="F89" i="12" s="1"/>
  <c r="G110" i="10"/>
  <c r="G112" i="11"/>
  <c r="F111" i="10" l="1"/>
  <c r="F114" i="10"/>
  <c r="F95" i="9"/>
  <c r="F92" i="9"/>
  <c r="G96" i="2"/>
  <c r="G93" i="2"/>
  <c r="G111" i="10"/>
  <c r="G162" i="3"/>
  <c r="F93" i="2"/>
  <c r="F162" i="3"/>
  <c r="C28" i="1" s="1"/>
  <c r="D28" i="1" s="1"/>
  <c r="G116" i="11"/>
  <c r="G113" i="11"/>
  <c r="G92" i="9"/>
  <c r="G95" i="9"/>
  <c r="D15" i="1" l="1"/>
  <c r="D16" i="1" s="1"/>
</calcChain>
</file>

<file path=xl/sharedStrings.xml><?xml version="1.0" encoding="utf-8"?>
<sst xmlns="http://schemas.openxmlformats.org/spreadsheetml/2006/main" count="3986" uniqueCount="1266">
  <si>
    <t>Rekapitulace – Chemické hubení plevelů v obvodu ST Ústí nad Labem</t>
  </si>
  <si>
    <t>Traťový okrsek</t>
  </si>
  <si>
    <t>TO Roudnice n.L.</t>
  </si>
  <si>
    <t>-</t>
  </si>
  <si>
    <t>TO Lovosice</t>
  </si>
  <si>
    <t>TO Ústí nad Labem západ</t>
  </si>
  <si>
    <t>TO Děčín hl.n.</t>
  </si>
  <si>
    <t>TO Litoměřice</t>
  </si>
  <si>
    <t>TO Děčín východ</t>
  </si>
  <si>
    <t>TO Česká Kamenice</t>
  </si>
  <si>
    <t>TO Rumburk</t>
  </si>
  <si>
    <t>Celkem:</t>
  </si>
  <si>
    <t>Datum</t>
  </si>
  <si>
    <t>Počasí</t>
  </si>
  <si>
    <t>Dávka/km</t>
  </si>
  <si>
    <t>Herbicid</t>
  </si>
  <si>
    <t>Škodlivý organizmus</t>
  </si>
  <si>
    <t>Poznámka</t>
  </si>
  <si>
    <t>Výkaz práce</t>
  </si>
  <si>
    <t>Objednatel: OŘ Ústí nad Labem, ST Ústí nad Labem</t>
  </si>
  <si>
    <t>Provozní středisko:   Roudnice nad Labem</t>
  </si>
  <si>
    <t>Provozní středisko:   Lovosice</t>
  </si>
  <si>
    <t>Provozní středisko:  Ústí nad Labem hl.n.</t>
  </si>
  <si>
    <t>Provozní středisko: Děčín hl.n.</t>
  </si>
  <si>
    <t>Provozní středisko: Ústí nad Labem západ</t>
  </si>
  <si>
    <t>Provozní středisko: Štětí</t>
  </si>
  <si>
    <t>Provozní středisko: Litoměřice</t>
  </si>
  <si>
    <t>Provozní středisko: Děčín východ</t>
  </si>
  <si>
    <t>Provozní středisko: Česká Kamenice</t>
  </si>
  <si>
    <t>Provozní středisko: Rumburk</t>
  </si>
  <si>
    <t>Práci provedl:</t>
  </si>
  <si>
    <t>450,813 - 458,008</t>
  </si>
  <si>
    <t>kol.č.2</t>
  </si>
  <si>
    <t>kol.č.3</t>
  </si>
  <si>
    <t>kol.č.5</t>
  </si>
  <si>
    <t>kol.č.4</t>
  </si>
  <si>
    <t>kol.č.6</t>
  </si>
  <si>
    <t>kol.č.7</t>
  </si>
  <si>
    <t>kol.č.8</t>
  </si>
  <si>
    <t>kol.č.9</t>
  </si>
  <si>
    <t>kol.č.11</t>
  </si>
  <si>
    <t>kol.č.13</t>
  </si>
  <si>
    <t>kol.č.15</t>
  </si>
  <si>
    <t>kol.č.17</t>
  </si>
  <si>
    <t>kol.č.101</t>
  </si>
  <si>
    <t>kol.č.103</t>
  </si>
  <si>
    <t>kol.č.105</t>
  </si>
  <si>
    <t>kol.č.107</t>
  </si>
  <si>
    <t>kol.č.109</t>
  </si>
  <si>
    <t>kol.č.109b</t>
  </si>
  <si>
    <t>kol.č.111</t>
  </si>
  <si>
    <t>kol.č.113</t>
  </si>
  <si>
    <t>kol.č.115</t>
  </si>
  <si>
    <t>kol.č.117</t>
  </si>
  <si>
    <t>kol.č.119</t>
  </si>
  <si>
    <t>kol.č.121</t>
  </si>
  <si>
    <t>kol.č.601</t>
  </si>
  <si>
    <t>kol.č.603</t>
  </si>
  <si>
    <t>kol.č.605</t>
  </si>
  <si>
    <t>kol.č.100</t>
  </si>
  <si>
    <t>Žst. Bohušovice n/O</t>
  </si>
  <si>
    <t>Sudé                                       kol.č.2</t>
  </si>
  <si>
    <t>Liché                                       kol.č.1</t>
  </si>
  <si>
    <t>Traťový úsek,žst.(číslo koleje)</t>
  </si>
  <si>
    <t xml:space="preserve">Úsek </t>
  </si>
  <si>
    <t>Žst. Lovosice koleje DKV</t>
  </si>
  <si>
    <t>kol.č.11d</t>
  </si>
  <si>
    <t>kol.č.11e</t>
  </si>
  <si>
    <t>kol.č.8a</t>
  </si>
  <si>
    <t>Úpořiny - Žalany</t>
  </si>
  <si>
    <t>Žalany zast.</t>
  </si>
  <si>
    <t>Žalany - Žim</t>
  </si>
  <si>
    <t>Žim zast.</t>
  </si>
  <si>
    <t>Žim - Radejčín</t>
  </si>
  <si>
    <t>Žst. Chotiměř</t>
  </si>
  <si>
    <t>Chotiměř - Lovosice</t>
  </si>
  <si>
    <t xml:space="preserve">Drátovodné trasy umístěné do 5m od krajní osy koleje </t>
  </si>
  <si>
    <t>Od km 19,07 k PZM v km 19,272</t>
  </si>
  <si>
    <t>9,676 - 13,126</t>
  </si>
  <si>
    <t>13,696 - 18,555</t>
  </si>
  <si>
    <t>18,555 - 19,092</t>
  </si>
  <si>
    <t>19,092 - 22,300</t>
  </si>
  <si>
    <t>26,831 - 27,208</t>
  </si>
  <si>
    <t>27,208 - 35,747</t>
  </si>
  <si>
    <t>0,614 - 3,220</t>
  </si>
  <si>
    <t>481,739 - 487,923</t>
  </si>
  <si>
    <t>489,312 - 492,992</t>
  </si>
  <si>
    <t>34,700 - 35,700</t>
  </si>
  <si>
    <t>480,435 - 481,739</t>
  </si>
  <si>
    <t>celkem</t>
  </si>
  <si>
    <t>Lovosice - Prackovice n.L.</t>
  </si>
  <si>
    <t>Žst. Prackovice</t>
  </si>
  <si>
    <t>Prackovice - Ústí n.L. - jih</t>
  </si>
  <si>
    <t>Technický dozor:Kučera Ivo VPS, Outlý Tomáš VM</t>
  </si>
  <si>
    <t>Mobil:Bušek - 724 346 595, Mansfeld - 725 416 247</t>
  </si>
  <si>
    <t>Technický dozor:Lacek Ivan VPS, Beran Josef VM, Nádvorník M. VM</t>
  </si>
  <si>
    <t>Technický dozor:Šemík Horymír VPS, Bendl Vojtěch VM</t>
  </si>
  <si>
    <t>Mobil:Šemík - 724 346 591, Bendl - 724 071 461</t>
  </si>
  <si>
    <t>Technický dozor:Boháč Roman VPS, Bačkovský Roman VM</t>
  </si>
  <si>
    <t>Mobil:Boháč - 724 037 461, Bačkovský - 605 269 707</t>
  </si>
  <si>
    <t>480,654 - 481,545</t>
  </si>
  <si>
    <t>480,712 - 481,468</t>
  </si>
  <si>
    <t>Provozní středisko: Lovosice</t>
  </si>
  <si>
    <t>487,965 - 489,270</t>
  </si>
  <si>
    <t>487,923 - 489,312</t>
  </si>
  <si>
    <t>488,184 - 489,111</t>
  </si>
  <si>
    <t>488,223 - 957</t>
  </si>
  <si>
    <t>488,184 - 996</t>
  </si>
  <si>
    <t>488,232 - 962</t>
  </si>
  <si>
    <t>493,035 - 495,726</t>
  </si>
  <si>
    <t>492,992 - 495,693</t>
  </si>
  <si>
    <t>493,247 - 494,400</t>
  </si>
  <si>
    <t>493,551 - 494,293</t>
  </si>
  <si>
    <t>kol.č.102</t>
  </si>
  <si>
    <t>493,425 - 494,288</t>
  </si>
  <si>
    <t>493,420 - 494,292</t>
  </si>
  <si>
    <t>494,917 - 495,404</t>
  </si>
  <si>
    <t>494,911 - 495,404</t>
  </si>
  <si>
    <t>494,911 - 495,525</t>
  </si>
  <si>
    <t>494,746 - 495,389</t>
  </si>
  <si>
    <t>494,713 - 495,407</t>
  </si>
  <si>
    <t>494,709 - 495,402</t>
  </si>
  <si>
    <t>493,497 - 494,372</t>
  </si>
  <si>
    <t>493,457 - 494,382</t>
  </si>
  <si>
    <t>493,451 - 494,378</t>
  </si>
  <si>
    <t>493,586 - 494,217</t>
  </si>
  <si>
    <t>493,561 - 494,250</t>
  </si>
  <si>
    <t>494,834 - 495,363</t>
  </si>
  <si>
    <t>494,833 - 495,363</t>
  </si>
  <si>
    <t>494,890 - 495,041</t>
  </si>
  <si>
    <t>35,658 - 722</t>
  </si>
  <si>
    <t>34,683 - 35,628</t>
  </si>
  <si>
    <t>kol.č.109c</t>
  </si>
  <si>
    <t>494,340 - 519</t>
  </si>
  <si>
    <t>494,339 - 519</t>
  </si>
  <si>
    <t>kol.č.7A</t>
  </si>
  <si>
    <t>494,422 - 837</t>
  </si>
  <si>
    <t>kol.č.53</t>
  </si>
  <si>
    <t>kol.č.55</t>
  </si>
  <si>
    <t>kol.č.57</t>
  </si>
  <si>
    <t>kol.č.59</t>
  </si>
  <si>
    <t>494,468 - 773</t>
  </si>
  <si>
    <t>494,549 - 783</t>
  </si>
  <si>
    <t>494,578 - 754</t>
  </si>
  <si>
    <t>494,603 - 725</t>
  </si>
  <si>
    <t>Trať. úsek  Hrobce - Lovosice</t>
  </si>
  <si>
    <t>Trať.úsek  Úpořiny - Lovosice</t>
  </si>
  <si>
    <t>Trať.úsek  Lovosice - Čížkovice</t>
  </si>
  <si>
    <t>Spojky, výhybky</t>
  </si>
  <si>
    <t>Lovosice - Čížkovice</t>
  </si>
  <si>
    <t>Žst. Dolní Beřkovice</t>
  </si>
  <si>
    <t>458,042-459,307</t>
  </si>
  <si>
    <t xml:space="preserve"> kol.č.3</t>
  </si>
  <si>
    <t>458,471 - 459,051</t>
  </si>
  <si>
    <t xml:space="preserve"> kol.č.5</t>
  </si>
  <si>
    <t>458,008 - 459,274</t>
  </si>
  <si>
    <t>458,166 - 986</t>
  </si>
  <si>
    <t>459,307 - 466,617</t>
  </si>
  <si>
    <t>Žst. Hněvice</t>
  </si>
  <si>
    <t>467,006 - 775</t>
  </si>
  <si>
    <t>466,520 - 181</t>
  </si>
  <si>
    <t>466,637 - 468,004</t>
  </si>
  <si>
    <t>467,053 - 711</t>
  </si>
  <si>
    <t>kol.č.10</t>
  </si>
  <si>
    <t>467,142 - 380</t>
  </si>
  <si>
    <t>kol.č.304</t>
  </si>
  <si>
    <t>468,093 - 866</t>
  </si>
  <si>
    <t>kol.č.306</t>
  </si>
  <si>
    <t>kol.č.308</t>
  </si>
  <si>
    <t>468,144 - 899</t>
  </si>
  <si>
    <t>kol.č.302B</t>
  </si>
  <si>
    <t>468,988 - 469,149</t>
  </si>
  <si>
    <t>kol.č.310+310A</t>
  </si>
  <si>
    <t>468,144 - 469,395</t>
  </si>
  <si>
    <t>kol.č.312</t>
  </si>
  <si>
    <t>kol.č.314</t>
  </si>
  <si>
    <t>468,148 - 806</t>
  </si>
  <si>
    <t>469,377 - 475,684</t>
  </si>
  <si>
    <t>466,617 - 469,377</t>
  </si>
  <si>
    <t>466,671 - 469,312</t>
  </si>
  <si>
    <t>Žst. Roudnice n.L.</t>
  </si>
  <si>
    <t>Žst. Lovosice</t>
  </si>
  <si>
    <t>475,717 - 477,002</t>
  </si>
  <si>
    <t>477,036 - 480,435</t>
  </si>
  <si>
    <t>475,684 - 477,036</t>
  </si>
  <si>
    <t>475,790 - 476,035</t>
  </si>
  <si>
    <t>kol.č.4A</t>
  </si>
  <si>
    <t>1,484 - 13,270</t>
  </si>
  <si>
    <t>0,363 - 6,508</t>
  </si>
  <si>
    <t>Žst. Budyně n.O.</t>
  </si>
  <si>
    <t xml:space="preserve">                                       kol.č.1</t>
  </si>
  <si>
    <t>Výhybky</t>
  </si>
  <si>
    <t>6,776 - 21,802</t>
  </si>
  <si>
    <t>Žst. Straškov</t>
  </si>
  <si>
    <t>21,827 - 22,208</t>
  </si>
  <si>
    <t>21,898 - 22,239</t>
  </si>
  <si>
    <t xml:space="preserve"> kol.č.7</t>
  </si>
  <si>
    <t>21,940 - 22,156</t>
  </si>
  <si>
    <t>21,940 - 22,170</t>
  </si>
  <si>
    <t>21,934 - 22,183</t>
  </si>
  <si>
    <t>22,090 - 227</t>
  </si>
  <si>
    <t xml:space="preserve"> kol.č.4+4A</t>
  </si>
  <si>
    <t>22,266 - 36,975</t>
  </si>
  <si>
    <t>Trať. úsek  Libochovice - Vraňany</t>
  </si>
  <si>
    <t>Hrobce - Bohušovice n/O</t>
  </si>
  <si>
    <t>Bohušovice n/O - Lovosice</t>
  </si>
  <si>
    <t>495,726 - 503,250</t>
  </si>
  <si>
    <t>503,532 - 504,313</t>
  </si>
  <si>
    <t>503,860 - 504,112</t>
  </si>
  <si>
    <t>503,250 - 504,574</t>
  </si>
  <si>
    <t>503,292 - 504,532</t>
  </si>
  <si>
    <t>504,574 - 514,782</t>
  </si>
  <si>
    <t>Žst. Ústí n.L. - jih</t>
  </si>
  <si>
    <t>514,816 - 516,494</t>
  </si>
  <si>
    <t>514,782 - 516,494</t>
  </si>
  <si>
    <t>Liché                                  kol.č.101</t>
  </si>
  <si>
    <t xml:space="preserve"> Sudé                                  kol.č.102</t>
  </si>
  <si>
    <t>kol.č.104</t>
  </si>
  <si>
    <t>514,995 - 515,984</t>
  </si>
  <si>
    <t>514,650 - 514,961</t>
  </si>
  <si>
    <t>516,494 - 517,542</t>
  </si>
  <si>
    <t>516,755 - 517,132</t>
  </si>
  <si>
    <t>516,537 - 517,499</t>
  </si>
  <si>
    <t>kol.č.119A</t>
  </si>
  <si>
    <t>492,793 - 493,160</t>
  </si>
  <si>
    <t>kol.č.3A</t>
  </si>
  <si>
    <t>493,194 - 265</t>
  </si>
  <si>
    <t>kol.č.607</t>
  </si>
  <si>
    <t>kol.č.609</t>
  </si>
  <si>
    <t>494,252 - 314</t>
  </si>
  <si>
    <t>494,252 - 339</t>
  </si>
  <si>
    <t>kol.č.301B</t>
  </si>
  <si>
    <t>494,276 - 550</t>
  </si>
  <si>
    <t>kol.č.301A</t>
  </si>
  <si>
    <t>494,584 - 865</t>
  </si>
  <si>
    <t>kol.č.601A</t>
  </si>
  <si>
    <t>494,372 - 432</t>
  </si>
  <si>
    <t>kol.č.317</t>
  </si>
  <si>
    <t>494,013 - 251</t>
  </si>
  <si>
    <t>kol.č.305X</t>
  </si>
  <si>
    <t>494,503 - 550</t>
  </si>
  <si>
    <t>kol.č.311</t>
  </si>
  <si>
    <t>kol.č.313</t>
  </si>
  <si>
    <t>494,333 - 474</t>
  </si>
  <si>
    <t>494,424 - 474</t>
  </si>
  <si>
    <t>kol.č.91P</t>
  </si>
  <si>
    <t>0,555 - 0,950</t>
  </si>
  <si>
    <t>vč. části koleje č. 435 až po přejezd v km 0,950</t>
  </si>
  <si>
    <t>458,217 - 500</t>
  </si>
  <si>
    <t>jen do km 485,500</t>
  </si>
  <si>
    <t>kol.č.304A</t>
  </si>
  <si>
    <t>kol.č.316</t>
  </si>
  <si>
    <t>kol.č.316A</t>
  </si>
  <si>
    <t>0,069 - 0,135</t>
  </si>
  <si>
    <t>0,031 - 0,135</t>
  </si>
  <si>
    <t>0,164 - 0,318</t>
  </si>
  <si>
    <t>Žst. Ústí n.L. hl.n.</t>
  </si>
  <si>
    <t>Ústí n.L. sever - Povrly</t>
  </si>
  <si>
    <t>519,966 - 525,198</t>
  </si>
  <si>
    <t>Žst. Povrly</t>
  </si>
  <si>
    <t>525,252 - 526,638</t>
  </si>
  <si>
    <t>525,543 - 526,368</t>
  </si>
  <si>
    <t>525,198 - 526,692</t>
  </si>
  <si>
    <t>525,451 - 526,387</t>
  </si>
  <si>
    <t>526,692 - 537,746</t>
  </si>
  <si>
    <t>537,789 - 539,015</t>
  </si>
  <si>
    <t>Pozn.</t>
  </si>
  <si>
    <t>537,962 - 538,844</t>
  </si>
  <si>
    <t>538,233 - 726</t>
  </si>
  <si>
    <t>538,272 - 690</t>
  </si>
  <si>
    <t>538,305 - 655</t>
  </si>
  <si>
    <t>538,340 - 620</t>
  </si>
  <si>
    <t>538,376 - 620</t>
  </si>
  <si>
    <t>538,409 - 571</t>
  </si>
  <si>
    <t>kol.č.19</t>
  </si>
  <si>
    <t>538,174 - 566</t>
  </si>
  <si>
    <t>kol.č.21A+23</t>
  </si>
  <si>
    <t>538,174 - 525</t>
  </si>
  <si>
    <t>kol.č.47+62X</t>
  </si>
  <si>
    <t>538,772 - 539,130</t>
  </si>
  <si>
    <t>537,746 - 539,015</t>
  </si>
  <si>
    <t>538,294 - 539,234</t>
  </si>
  <si>
    <t>kol.č.104A+B</t>
  </si>
  <si>
    <t>537,893 - 538,088</t>
  </si>
  <si>
    <t>kol.č.106</t>
  </si>
  <si>
    <t>538,294 - 539,276</t>
  </si>
  <si>
    <t>kol.č.108</t>
  </si>
  <si>
    <t>538,244 - 539,281</t>
  </si>
  <si>
    <t>kol.č.110</t>
  </si>
  <si>
    <t>538,295 - 539,238</t>
  </si>
  <si>
    <t>kol.č.112</t>
  </si>
  <si>
    <t>kol.č.114</t>
  </si>
  <si>
    <t>538,340 - 663</t>
  </si>
  <si>
    <t>kol.č.116</t>
  </si>
  <si>
    <t>538,387 - 500</t>
  </si>
  <si>
    <t>kol.č.118</t>
  </si>
  <si>
    <t>538,427 - 622</t>
  </si>
  <si>
    <t>kol.č.120</t>
  </si>
  <si>
    <t>538,427 - 560</t>
  </si>
  <si>
    <t>kol.č.122</t>
  </si>
  <si>
    <t>538,482 - 546</t>
  </si>
  <si>
    <t>kol.č.124</t>
  </si>
  <si>
    <t>538,482 - 715</t>
  </si>
  <si>
    <t>kol.č.126</t>
  </si>
  <si>
    <t>538,441 - 945</t>
  </si>
  <si>
    <t>kol.č.20</t>
  </si>
  <si>
    <t>538,242 - 945</t>
  </si>
  <si>
    <t>kol.č.22</t>
  </si>
  <si>
    <t>538,275 - 539,038</t>
  </si>
  <si>
    <t>kol.č.24</t>
  </si>
  <si>
    <t>kol.č.26A+26</t>
  </si>
  <si>
    <t>538,209 - 539,005</t>
  </si>
  <si>
    <t>kol.č.28</t>
  </si>
  <si>
    <t>538,335 - 539,005</t>
  </si>
  <si>
    <t>kol.č.30</t>
  </si>
  <si>
    <t>538,248 - 998</t>
  </si>
  <si>
    <t>kol.č.32</t>
  </si>
  <si>
    <t>538,246 - 971</t>
  </si>
  <si>
    <t>kol.č.34</t>
  </si>
  <si>
    <t>538,246 - 944</t>
  </si>
  <si>
    <t>kol.č.36</t>
  </si>
  <si>
    <t>538,241 - 875</t>
  </si>
  <si>
    <t>kol.č.38</t>
  </si>
  <si>
    <t>538,241 - 825</t>
  </si>
  <si>
    <t>kol.č.40</t>
  </si>
  <si>
    <t>kol.č.42</t>
  </si>
  <si>
    <t>538,241 - 847</t>
  </si>
  <si>
    <t>kol.č.44</t>
  </si>
  <si>
    <t>538,239 - 847</t>
  </si>
  <si>
    <t>kol.č.46</t>
  </si>
  <si>
    <t>538,239 - 815</t>
  </si>
  <si>
    <t>kol.č.48+48A</t>
  </si>
  <si>
    <t>kol.č.50</t>
  </si>
  <si>
    <t>538,239 - 610</t>
  </si>
  <si>
    <t>kol.č.203+203A+203B</t>
  </si>
  <si>
    <t>538,316 - 1,145</t>
  </si>
  <si>
    <t>kol.č.205</t>
  </si>
  <si>
    <t>0,352 - 1,071</t>
  </si>
  <si>
    <t>kol.č.207</t>
  </si>
  <si>
    <t>0,379 - 1,044</t>
  </si>
  <si>
    <t>kol.č.209</t>
  </si>
  <si>
    <t>0,404 - 1,017</t>
  </si>
  <si>
    <t>kol.č.211</t>
  </si>
  <si>
    <t>0,431 - 0,990</t>
  </si>
  <si>
    <t>kol.č.213</t>
  </si>
  <si>
    <t>0,458 - 0,963</t>
  </si>
  <si>
    <t>kol.č.215</t>
  </si>
  <si>
    <t>0,486 - 0,936</t>
  </si>
  <si>
    <t>kol.č.217</t>
  </si>
  <si>
    <t>0,489 - 0,909</t>
  </si>
  <si>
    <t>kol.č.219</t>
  </si>
  <si>
    <t>0,460 - 0,888</t>
  </si>
  <si>
    <t>0,000 - 0,228</t>
  </si>
  <si>
    <t>0,138 - 0,228</t>
  </si>
  <si>
    <t>0,248 - 0,339</t>
  </si>
  <si>
    <t>kol.č.202</t>
  </si>
  <si>
    <t>538,408 - 1,156</t>
  </si>
  <si>
    <t>538,360 - 1,500</t>
  </si>
  <si>
    <t>kol.č.204</t>
  </si>
  <si>
    <t>538,443 - 860</t>
  </si>
  <si>
    <t>kol.č.92</t>
  </si>
  <si>
    <t>538,108 - 249</t>
  </si>
  <si>
    <t>kol.č.210</t>
  </si>
  <si>
    <t>538,146 - 222</t>
  </si>
  <si>
    <t>kol.č.212</t>
  </si>
  <si>
    <t>538,147 - 224</t>
  </si>
  <si>
    <t>kol.č.214</t>
  </si>
  <si>
    <t>538,080 - 224</t>
  </si>
  <si>
    <t>kol.č.201+201A+201C+201D</t>
  </si>
  <si>
    <t>Žst. Děčín hl.n.</t>
  </si>
  <si>
    <t>539,058 - 540,164</t>
  </si>
  <si>
    <t>kol.č.3+3A</t>
  </si>
  <si>
    <t>539,474 - 993</t>
  </si>
  <si>
    <t>539,015 - 540,121</t>
  </si>
  <si>
    <t>539,392 - 800</t>
  </si>
  <si>
    <t>kol.č.6+6A+6B</t>
  </si>
  <si>
    <t>539,410 - 762</t>
  </si>
  <si>
    <t>kol.č.8+8B+8C+8D</t>
  </si>
  <si>
    <t>kol.č.10+10B+10C</t>
  </si>
  <si>
    <t>539,495 - 858</t>
  </si>
  <si>
    <t>kol.č.12+12A</t>
  </si>
  <si>
    <t>539,534 - 920</t>
  </si>
  <si>
    <t>vč. přejezdu P2424</t>
  </si>
  <si>
    <t>kol.č.5+5B+5C</t>
  </si>
  <si>
    <t>kol.č.103+103B</t>
  </si>
  <si>
    <t>515,580 - 516,011</t>
  </si>
  <si>
    <t>0,318 - 0,507</t>
  </si>
  <si>
    <t>kol.č.7+7B</t>
  </si>
  <si>
    <t>0,043 - 0,465</t>
  </si>
  <si>
    <t>0,254 - 0,409</t>
  </si>
  <si>
    <t>Trať. úsek Děčín hl.n. - Telnice</t>
  </si>
  <si>
    <t>Děčín hl.n. - Jílové</t>
  </si>
  <si>
    <t>1,172 - 8,999</t>
  </si>
  <si>
    <t>Žst. Jílové</t>
  </si>
  <si>
    <t>8,999 - 9,632</t>
  </si>
  <si>
    <t>Jílové - Libouchec</t>
  </si>
  <si>
    <t>9,632 - 13,265</t>
  </si>
  <si>
    <t>Žst. Libouchec</t>
  </si>
  <si>
    <t>Trať. úsek  Lovosice - Povrly</t>
  </si>
  <si>
    <t>Trať. úsek  Vraňany - Hrobce</t>
  </si>
  <si>
    <t>Libouchec - Malé Chvojno</t>
  </si>
  <si>
    <t>13,785 - 15,762</t>
  </si>
  <si>
    <t>13,265 - 13,785</t>
  </si>
  <si>
    <t>Žst. Malé Chvojno</t>
  </si>
  <si>
    <t>15,762 - 16,614</t>
  </si>
  <si>
    <t>Malé Chvojno - Telnice</t>
  </si>
  <si>
    <t>16,614 - 21,742</t>
  </si>
  <si>
    <t>Žst. Telnice</t>
  </si>
  <si>
    <t>Trať. úsek Děčín hl.n. - Dolní Žleb st.hr.</t>
  </si>
  <si>
    <t>Děčín hl.n. - Prostřední Žleb</t>
  </si>
  <si>
    <t>1,026 - 3,182</t>
  </si>
  <si>
    <t>Žst. Prostřední Žleb</t>
  </si>
  <si>
    <t>3,248 - 4,850</t>
  </si>
  <si>
    <t>3,696 - 4,482</t>
  </si>
  <si>
    <t>3,743 - 4,425</t>
  </si>
  <si>
    <t>3,744 - 4,425</t>
  </si>
  <si>
    <t>3,182 - 4,784</t>
  </si>
  <si>
    <t>3,432 - 4,419</t>
  </si>
  <si>
    <t>3,673 - 4,372</t>
  </si>
  <si>
    <t>kol.č.4+4A+4C</t>
  </si>
  <si>
    <t>kol.č.6+6A</t>
  </si>
  <si>
    <t>kol.č.12</t>
  </si>
  <si>
    <t>3,827 - 4,028</t>
  </si>
  <si>
    <t>kol.č.14</t>
  </si>
  <si>
    <t>3,854 - 4,028</t>
  </si>
  <si>
    <t>kol.č.16</t>
  </si>
  <si>
    <t>Prostřední Žleb - Dolní Žleb</t>
  </si>
  <si>
    <t>4,850 - 9,919</t>
  </si>
  <si>
    <t>Žst. Dolní Žleb</t>
  </si>
  <si>
    <t>9,919 - 10,097</t>
  </si>
  <si>
    <t>9,945 - 10,094</t>
  </si>
  <si>
    <t>9,953 - 10,063</t>
  </si>
  <si>
    <t>Dolní Žleb - st.hranice</t>
  </si>
  <si>
    <t>10,097 - 11,859</t>
  </si>
  <si>
    <t>kol.č.206+206A</t>
  </si>
  <si>
    <t>538,520 - 860</t>
  </si>
  <si>
    <t>kol.č.103A-103G</t>
  </si>
  <si>
    <t>kol.č.110A</t>
  </si>
  <si>
    <t>537,358 - 940</t>
  </si>
  <si>
    <t>0,290 - 0,634</t>
  </si>
  <si>
    <t>21,742 - 22,038</t>
  </si>
  <si>
    <t>Žst. Ústí n.L. západ</t>
  </si>
  <si>
    <t>kol.č.18</t>
  </si>
  <si>
    <t>Žst. Liběchov</t>
  </si>
  <si>
    <t>379,746 - 380,434</t>
  </si>
  <si>
    <t>379,785 - 380,392</t>
  </si>
  <si>
    <t>kol.č.4A-4B</t>
  </si>
  <si>
    <t>379,447 - 380,395</t>
  </si>
  <si>
    <t>kol.č.6-6A</t>
  </si>
  <si>
    <t>Liběchov - Štětí</t>
  </si>
  <si>
    <t>380,514 - 385,153</t>
  </si>
  <si>
    <t>Žst. Štětí</t>
  </si>
  <si>
    <t>385,227 - 386,135</t>
  </si>
  <si>
    <t>385,325 - 910</t>
  </si>
  <si>
    <t>385,180 - 866</t>
  </si>
  <si>
    <t>kol.č.5A-5B</t>
  </si>
  <si>
    <t>385,416 - 801</t>
  </si>
  <si>
    <t>385,227 - 386,102</t>
  </si>
  <si>
    <t>385,266 - 869</t>
  </si>
  <si>
    <t>Štětí - Hošťka</t>
  </si>
  <si>
    <t>386,135 - 391,647</t>
  </si>
  <si>
    <t>Žst. Hošťka</t>
  </si>
  <si>
    <t>391,726 - 392,394</t>
  </si>
  <si>
    <t>391,765 - 392,310</t>
  </si>
  <si>
    <t>kol.č.3A-3</t>
  </si>
  <si>
    <t>391,939 - 392,263</t>
  </si>
  <si>
    <t>391,765 - 392,354</t>
  </si>
  <si>
    <t>Hošťka - Polepy</t>
  </si>
  <si>
    <t>392,473 - 397,591</t>
  </si>
  <si>
    <t>Žst. Polepy</t>
  </si>
  <si>
    <t>397,671 - 398,421</t>
  </si>
  <si>
    <t>397,759 - 398,349</t>
  </si>
  <si>
    <t>397,872 - 398,316</t>
  </si>
  <si>
    <t>kol.č.5C+5</t>
  </si>
  <si>
    <t>kol.č.7+7A</t>
  </si>
  <si>
    <t>398,055 - 430</t>
  </si>
  <si>
    <t>397,727 - 398,383</t>
  </si>
  <si>
    <t>Polepy - Litoměřice d.n.</t>
  </si>
  <si>
    <t>398,501 - 406,263</t>
  </si>
  <si>
    <t>Žst. Litoměřice d.n.</t>
  </si>
  <si>
    <t>406,343 - 407,218</t>
  </si>
  <si>
    <t>406,429 - 407,135</t>
  </si>
  <si>
    <t>kol.č.5B+5</t>
  </si>
  <si>
    <t>406,473 - 407,102</t>
  </si>
  <si>
    <t>406,416 - 407,139</t>
  </si>
  <si>
    <t>kol.č.8B+8</t>
  </si>
  <si>
    <t>406,485 - 407,052</t>
  </si>
  <si>
    <t>397,830 - 839</t>
  </si>
  <si>
    <t>kol.č.5B</t>
  </si>
  <si>
    <t>kol.č.7+7C</t>
  </si>
  <si>
    <t>406,617 - 407,110</t>
  </si>
  <si>
    <t>406,780 - 407,000</t>
  </si>
  <si>
    <t>406,871 - 407,027</t>
  </si>
  <si>
    <t>406,731 - 407,027</t>
  </si>
  <si>
    <t>Litoměřice d.n. - V. Žernoseky</t>
  </si>
  <si>
    <t>kol.č.6B+6+6C</t>
  </si>
  <si>
    <t>406,485 - 407,384</t>
  </si>
  <si>
    <t>407,298 - 411,964</t>
  </si>
  <si>
    <t>412,044 - 857</t>
  </si>
  <si>
    <t>412,091 - 412,780</t>
  </si>
  <si>
    <t>412,273 - 780</t>
  </si>
  <si>
    <t>412,043 - 857</t>
  </si>
  <si>
    <t>412,082 - 774</t>
  </si>
  <si>
    <t>412,280 - 749</t>
  </si>
  <si>
    <t>kol.č.8+8A</t>
  </si>
  <si>
    <t>412,560 - 813</t>
  </si>
  <si>
    <t>Žst. Velké Žernoseky</t>
  </si>
  <si>
    <t>V. Žernoseky - Sebuzín</t>
  </si>
  <si>
    <t>412,936 - 422,193</t>
  </si>
  <si>
    <t>Žst. Sebuzín</t>
  </si>
  <si>
    <t>422,272 - 423,165</t>
  </si>
  <si>
    <t>422,347 - 423,008</t>
  </si>
  <si>
    <t>422,347 - 467</t>
  </si>
  <si>
    <t>422,272 - 423,199</t>
  </si>
  <si>
    <t>422,310 - 423,010</t>
  </si>
  <si>
    <t>0,051 - 0,785</t>
  </si>
  <si>
    <t>V. Žernoseky - Žalhostice</t>
  </si>
  <si>
    <t>Lovosice - Žalhostice</t>
  </si>
  <si>
    <t>36,931 - 40,110</t>
  </si>
  <si>
    <t>Žst. Žalhostice</t>
  </si>
  <si>
    <t>40,143 - 568</t>
  </si>
  <si>
    <t>40,216 - 568</t>
  </si>
  <si>
    <t>40,221 - 593</t>
  </si>
  <si>
    <t>40,221 - 406</t>
  </si>
  <si>
    <t>Žalhostice - LT hor.n.</t>
  </si>
  <si>
    <t>40,618 - 43,917</t>
  </si>
  <si>
    <t>Žst. Litoměřice hor.n.</t>
  </si>
  <si>
    <t>43,950 - 44,076</t>
  </si>
  <si>
    <t>43,950 - 44,196</t>
  </si>
  <si>
    <t>43,989 - 44,196</t>
  </si>
  <si>
    <t>kol.č.51A+51</t>
  </si>
  <si>
    <t>Žst. Ústí nad Labem-Střekov</t>
  </si>
  <si>
    <t>430,183-431,472</t>
  </si>
  <si>
    <t>kol.č.3A+3</t>
  </si>
  <si>
    <t>430,430-431,358</t>
  </si>
  <si>
    <t>430,849-431,358</t>
  </si>
  <si>
    <t>kol.č.5-5D</t>
  </si>
  <si>
    <t>430,679-431,044</t>
  </si>
  <si>
    <t>kol.č.7A+7</t>
  </si>
  <si>
    <t>431,184-294</t>
  </si>
  <si>
    <t>431,237-294</t>
  </si>
  <si>
    <t>430,150-431,472</t>
  </si>
  <si>
    <t>kol.č.4A+4</t>
  </si>
  <si>
    <t>429,981-431,266</t>
  </si>
  <si>
    <t>430,408-431,233</t>
  </si>
  <si>
    <t>430,448-431,192</t>
  </si>
  <si>
    <t>430,514-431,159</t>
  </si>
  <si>
    <t>kol.č.16+16A</t>
  </si>
  <si>
    <t>430,672-431,318</t>
  </si>
  <si>
    <t>430,749-431,490</t>
  </si>
  <si>
    <t>kol.č.20+20A+20B</t>
  </si>
  <si>
    <t>430,708-431,490</t>
  </si>
  <si>
    <t>kol.č.18+18A+18B</t>
  </si>
  <si>
    <t>430,807-431,064</t>
  </si>
  <si>
    <t>kol.č.26-26B</t>
  </si>
  <si>
    <t>430,946-431,755</t>
  </si>
  <si>
    <t>430,514-431,585</t>
  </si>
  <si>
    <t>kol.č.14A+14+14B</t>
  </si>
  <si>
    <t>430,400-431,589</t>
  </si>
  <si>
    <t>423,199-430,150</t>
  </si>
  <si>
    <t>Ústí n.L.-Střekov - Velké Březno</t>
  </si>
  <si>
    <t>Sebuzín - Ústí n.L.-Střekov</t>
  </si>
  <si>
    <t>431,472-439,362</t>
  </si>
  <si>
    <t>Žst. Velké Březno</t>
  </si>
  <si>
    <t>439,442-440,140</t>
  </si>
  <si>
    <t>439,517-440,099</t>
  </si>
  <si>
    <t>439,408-487</t>
  </si>
  <si>
    <t>Velké Březno - Boletice n.L.</t>
  </si>
  <si>
    <t>440,218-449,565</t>
  </si>
  <si>
    <t>Žst. Boletice n.L.</t>
  </si>
  <si>
    <t>449,645-450,405</t>
  </si>
  <si>
    <t>449,707-450,252</t>
  </si>
  <si>
    <t>449,788-450,170</t>
  </si>
  <si>
    <t>449,645-450,438</t>
  </si>
  <si>
    <t>449,565-450,304</t>
  </si>
  <si>
    <t>Boletice n.L. - Děčín východ</t>
  </si>
  <si>
    <t>455,804-457,683</t>
  </si>
  <si>
    <t>455,750-457,272</t>
  </si>
  <si>
    <t>456,182-783</t>
  </si>
  <si>
    <t>456,153-783</t>
  </si>
  <si>
    <t>Žst. Děčín východ - dolní nádraží</t>
  </si>
  <si>
    <t>456,301-457,129</t>
  </si>
  <si>
    <t>kol.č.14+14A</t>
  </si>
  <si>
    <t>456,301-457,600</t>
  </si>
  <si>
    <t>456,274-457,129</t>
  </si>
  <si>
    <t>456,247-457,129</t>
  </si>
  <si>
    <t>kol.č.20B</t>
  </si>
  <si>
    <t>457,059-241</t>
  </si>
  <si>
    <t>kol.č.24+24A</t>
  </si>
  <si>
    <t>456,271-457,542</t>
  </si>
  <si>
    <t>kol.č.26</t>
  </si>
  <si>
    <t>456,304-457,094</t>
  </si>
  <si>
    <t>kol.č.28+28A</t>
  </si>
  <si>
    <t>456,304-457,105</t>
  </si>
  <si>
    <t>456,309-457,078</t>
  </si>
  <si>
    <t>456,342-457,046</t>
  </si>
  <si>
    <t>456,375-457,015</t>
  </si>
  <si>
    <t>456,402-966</t>
  </si>
  <si>
    <t>kol.č.40A</t>
  </si>
  <si>
    <t>456,218-457,015</t>
  </si>
  <si>
    <t>kol.č.40C</t>
  </si>
  <si>
    <t>456,504-566</t>
  </si>
  <si>
    <t>kol.č.40D</t>
  </si>
  <si>
    <t>456,466-554</t>
  </si>
  <si>
    <t>kol.č.40B</t>
  </si>
  <si>
    <t>456,414-457,015</t>
  </si>
  <si>
    <t>456,369-983</t>
  </si>
  <si>
    <t>456,198-954</t>
  </si>
  <si>
    <t>456,243-923</t>
  </si>
  <si>
    <t>kol.č.48</t>
  </si>
  <si>
    <t>456,276-880</t>
  </si>
  <si>
    <t>kol.č.52</t>
  </si>
  <si>
    <t>456,600-851</t>
  </si>
  <si>
    <t>kol.č.54+54A</t>
  </si>
  <si>
    <t>456,609-457,013</t>
  </si>
  <si>
    <t>0,142-0,298</t>
  </si>
  <si>
    <t>kol.č.15A+15</t>
  </si>
  <si>
    <t>0,000-0,673</t>
  </si>
  <si>
    <t>kol.č.17+17A</t>
  </si>
  <si>
    <t>0,194-0,590</t>
  </si>
  <si>
    <t>0,194-0,466</t>
  </si>
  <si>
    <t>kol.č.21</t>
  </si>
  <si>
    <t>0,233-0,439</t>
  </si>
  <si>
    <t>kol.č.23</t>
  </si>
  <si>
    <t>0,233-0,412</t>
  </si>
  <si>
    <t>kol.č.27</t>
  </si>
  <si>
    <t>0,133-0,147</t>
  </si>
  <si>
    <t>Žst. Děčín východ - horní nádraží</t>
  </si>
  <si>
    <t>3,284-3,735</t>
  </si>
  <si>
    <t>3,319-3,656</t>
  </si>
  <si>
    <t>3,229-3,891</t>
  </si>
  <si>
    <t>3,319-3,868</t>
  </si>
  <si>
    <t>3,347-3,842</t>
  </si>
  <si>
    <t>3,399-3,842</t>
  </si>
  <si>
    <t>3,399-3,783</t>
  </si>
  <si>
    <t>kol.č.13A</t>
  </si>
  <si>
    <t>0,048-0,109</t>
  </si>
  <si>
    <t>Děčín hl.n. - Děčín východ</t>
  </si>
  <si>
    <t>1,792-3,196</t>
  </si>
  <si>
    <t>Děčín východ - Prostřední Žleb</t>
  </si>
  <si>
    <t>457,725-458,961</t>
  </si>
  <si>
    <t>Děčín východ - Loubí</t>
  </si>
  <si>
    <t>0,000-0,981</t>
  </si>
  <si>
    <t>Vraňany - D. Beřkovice</t>
  </si>
  <si>
    <t>Dolní Beřkovice - Hněvice</t>
  </si>
  <si>
    <t>Hněvice - Roudnice n.L.</t>
  </si>
  <si>
    <t>Trať. úsek Povrly - Děčín hl.n.</t>
  </si>
  <si>
    <t>Povrly - Děčín hl.n. - jih</t>
  </si>
  <si>
    <t>Žst. Děčín hl.n. - jih</t>
  </si>
  <si>
    <t>Žst. Děčín hl.n. západní nádraží</t>
  </si>
  <si>
    <t>kol.č.58</t>
  </si>
  <si>
    <t>455,900-456,050</t>
  </si>
  <si>
    <t>jen do km 455,900!</t>
  </si>
  <si>
    <t>Žst. Krásná Lípa</t>
  </si>
  <si>
    <t>84,669-85,213</t>
  </si>
  <si>
    <t>85,021-213</t>
  </si>
  <si>
    <t>84,713-85,255</t>
  </si>
  <si>
    <t>Krásná Lípa - Rumburk</t>
  </si>
  <si>
    <t>85,323-90,521</t>
  </si>
  <si>
    <t>Žst. Rumburk</t>
  </si>
  <si>
    <t>90,562-91,181</t>
  </si>
  <si>
    <t>90,660-91,159</t>
  </si>
  <si>
    <t>90,693-91,129</t>
  </si>
  <si>
    <t>90,720-91,102</t>
  </si>
  <si>
    <t>90,720-91,069</t>
  </si>
  <si>
    <t>90,761-91,069</t>
  </si>
  <si>
    <t>91,047-129</t>
  </si>
  <si>
    <t>91,082-129</t>
  </si>
  <si>
    <t>90,553-91,235</t>
  </si>
  <si>
    <t>Rumburk - Jiříkov</t>
  </si>
  <si>
    <t>91,277-97,488</t>
  </si>
  <si>
    <t>Žst. Jiříkov</t>
  </si>
  <si>
    <t>97,521-690</t>
  </si>
  <si>
    <t>97,572-98,030</t>
  </si>
  <si>
    <t>Trať. úsek Krásná Lípa - Jiříkov</t>
  </si>
  <si>
    <t>Trať. úsek Rumburk - D. Poustevna</t>
  </si>
  <si>
    <t>Rumburk - Šluknov</t>
  </si>
  <si>
    <t>0,020-9,263</t>
  </si>
  <si>
    <t>Žst. Šluknov</t>
  </si>
  <si>
    <t xml:space="preserve">                                      kol.č.1</t>
  </si>
  <si>
    <t>9,340-835</t>
  </si>
  <si>
    <t>9,373-799</t>
  </si>
  <si>
    <t>Šluknov - Velký Šenov</t>
  </si>
  <si>
    <t>9,892-16,205</t>
  </si>
  <si>
    <t>Žst. Velký Šenov</t>
  </si>
  <si>
    <t>16,238-528</t>
  </si>
  <si>
    <t>16,470-561</t>
  </si>
  <si>
    <t>16,594-20,045</t>
  </si>
  <si>
    <t>Žst. Mikulášovice</t>
  </si>
  <si>
    <t>25,644-898</t>
  </si>
  <si>
    <t>25,644-796</t>
  </si>
  <si>
    <t>25,721-898</t>
  </si>
  <si>
    <t>kol.č.2A</t>
  </si>
  <si>
    <t>0,000-0,087</t>
  </si>
  <si>
    <t>25,925-26,271</t>
  </si>
  <si>
    <t>Mikulášovice - Panský</t>
  </si>
  <si>
    <t>0,095-11,302</t>
  </si>
  <si>
    <t>Žst. Panský</t>
  </si>
  <si>
    <t>11,329-532</t>
  </si>
  <si>
    <t>11,359-489</t>
  </si>
  <si>
    <t>11,359-485</t>
  </si>
  <si>
    <t>Panský - Rumburk</t>
  </si>
  <si>
    <t>11,565-17,783</t>
  </si>
  <si>
    <t>Panský - Krásná Lípa</t>
  </si>
  <si>
    <t>0,200-5,017</t>
  </si>
  <si>
    <t>CELKEM:</t>
  </si>
  <si>
    <t>Velký Šenov - Mikulášovice d.n.</t>
  </si>
  <si>
    <t>Mikulášovice d.n. - D. Poustevna</t>
  </si>
  <si>
    <t>Žst. Dolní Poustevna</t>
  </si>
  <si>
    <t>Dolní Poustevna - st.hranice</t>
  </si>
  <si>
    <t>Děčín východ - Benešov n.Pl.</t>
  </si>
  <si>
    <t>3,984-11,129</t>
  </si>
  <si>
    <t>Žst. Benešov n.Pl.</t>
  </si>
  <si>
    <t>11,173-12,032</t>
  </si>
  <si>
    <t>11,231-12,032</t>
  </si>
  <si>
    <t>kol.č.5A</t>
  </si>
  <si>
    <t>11,763-923</t>
  </si>
  <si>
    <t>11,269-864</t>
  </si>
  <si>
    <t>11,231-375</t>
  </si>
  <si>
    <t>12,065-16,847</t>
  </si>
  <si>
    <t>Žst. Česká Kamenice</t>
  </si>
  <si>
    <t>Markvartice - Česká Kamenice</t>
  </si>
  <si>
    <t>Benešov n.Pl. - Markvartice</t>
  </si>
  <si>
    <t>Žst. Markvartice</t>
  </si>
  <si>
    <t>16,890-17,188</t>
  </si>
  <si>
    <t>kol.č.1</t>
  </si>
  <si>
    <t>16,889-17,188</t>
  </si>
  <si>
    <t>17,242-24,418</t>
  </si>
  <si>
    <t>24,460-25,220</t>
  </si>
  <si>
    <t>24,534-25,159</t>
  </si>
  <si>
    <t>24,578-25,110</t>
  </si>
  <si>
    <t>Česká Kamenice - Mlýny</t>
  </si>
  <si>
    <t>25,250-31,566</t>
  </si>
  <si>
    <t>Žst. Mlýny</t>
  </si>
  <si>
    <t>31,622-32,240</t>
  </si>
  <si>
    <t>31,805-32,050</t>
  </si>
  <si>
    <t>Mlýny - Jedlová</t>
  </si>
  <si>
    <t>32,294-40,115</t>
  </si>
  <si>
    <t>Žst. Jedlová</t>
  </si>
  <si>
    <t>70,463-71,141</t>
  </si>
  <si>
    <t>70,607-71,045</t>
  </si>
  <si>
    <t>70,568-71,045</t>
  </si>
  <si>
    <t>70,562-960</t>
  </si>
  <si>
    <t>Trať. úsek DC východ - Jedlová</t>
  </si>
  <si>
    <t>Trať. úsek Jedlová - Krásná Lípa</t>
  </si>
  <si>
    <t>Jedlová - Chřibská</t>
  </si>
  <si>
    <t>71,183-75,970</t>
  </si>
  <si>
    <t>Žst. Chřibská</t>
  </si>
  <si>
    <t>76,024-649</t>
  </si>
  <si>
    <t>76,359-546</t>
  </si>
  <si>
    <t>76,359-449</t>
  </si>
  <si>
    <t>Chřibská - Rybniště</t>
  </si>
  <si>
    <t>76,703-79,627</t>
  </si>
  <si>
    <t>Žst. Rybniště</t>
  </si>
  <si>
    <t>79,669-80,435</t>
  </si>
  <si>
    <t>79,728-80,262</t>
  </si>
  <si>
    <t>79,869-80,231</t>
  </si>
  <si>
    <t>79,926-80,180</t>
  </si>
  <si>
    <t>79,811-80,261</t>
  </si>
  <si>
    <t>80,097-274</t>
  </si>
  <si>
    <t>kol.č.6A</t>
  </si>
  <si>
    <t>79,811-80,006</t>
  </si>
  <si>
    <t>kol.č.6B+6C</t>
  </si>
  <si>
    <t>80,154-274</t>
  </si>
  <si>
    <t>Rybniště - Krásná Lípa</t>
  </si>
  <si>
    <t>80,435-84,636</t>
  </si>
  <si>
    <t>Trať. úsek Rybniště - Varnsdorf</t>
  </si>
  <si>
    <t>Žst. Varnsdorf</t>
  </si>
  <si>
    <t>Varnsdorf - st. hranice</t>
  </si>
  <si>
    <t>Trať. úsek Varnsdorf - pivovar Kocour</t>
  </si>
  <si>
    <t>0,507 - 2,578</t>
  </si>
  <si>
    <t>1,082-2,072</t>
  </si>
  <si>
    <t>kol.č.3B-603B</t>
  </si>
  <si>
    <t>1,092-2,545</t>
  </si>
  <si>
    <t>kol.č.7A-7C</t>
  </si>
  <si>
    <t>1,309-2,072</t>
  </si>
  <si>
    <t>kol.č.9A+9</t>
  </si>
  <si>
    <t>1,070-2,012</t>
  </si>
  <si>
    <t>1,124-2,018</t>
  </si>
  <si>
    <t>kol.č.25</t>
  </si>
  <si>
    <t>kol.č.31</t>
  </si>
  <si>
    <t>kol.č.33</t>
  </si>
  <si>
    <t>kol.č.35</t>
  </si>
  <si>
    <t>kol.č.37</t>
  </si>
  <si>
    <t>kol.č.39</t>
  </si>
  <si>
    <t>kol.č.41</t>
  </si>
  <si>
    <t>kol.č.43</t>
  </si>
  <si>
    <t>kol.č.45</t>
  </si>
  <si>
    <t>kol.č.47</t>
  </si>
  <si>
    <t>kol.č.49</t>
  </si>
  <si>
    <t>kol.č.51</t>
  </si>
  <si>
    <t>kol.č.53+53A</t>
  </si>
  <si>
    <t>1,447-2,013</t>
  </si>
  <si>
    <t>kol.č.53B</t>
  </si>
  <si>
    <t>1,718-2,012</t>
  </si>
  <si>
    <t>kol.č.53C</t>
  </si>
  <si>
    <t>kol.č.53D</t>
  </si>
  <si>
    <t>1,147-2,038</t>
  </si>
  <si>
    <t>1,375-2,081</t>
  </si>
  <si>
    <t>kol.č.63A+63</t>
  </si>
  <si>
    <t>1,469-2,110</t>
  </si>
  <si>
    <t>kol.č.65</t>
  </si>
  <si>
    <t>1,533-2,110</t>
  </si>
  <si>
    <t>kol.č.67</t>
  </si>
  <si>
    <t>1,502-2,153</t>
  </si>
  <si>
    <t>kol.č.69</t>
  </si>
  <si>
    <t>1,535-2,198</t>
  </si>
  <si>
    <t>kol.č.71</t>
  </si>
  <si>
    <t>1,535-2,237</t>
  </si>
  <si>
    <t>kol.č.73</t>
  </si>
  <si>
    <t>1,575-2,126</t>
  </si>
  <si>
    <t>kol.č.75</t>
  </si>
  <si>
    <t>1,620-2,126</t>
  </si>
  <si>
    <t>kol.č.77</t>
  </si>
  <si>
    <t>1,620-2,159</t>
  </si>
  <si>
    <t>kol.č.79</t>
  </si>
  <si>
    <t>1,619-2,165</t>
  </si>
  <si>
    <t>kol.č.81</t>
  </si>
  <si>
    <t>1,619-2,116</t>
  </si>
  <si>
    <t>kol.č.83</t>
  </si>
  <si>
    <t>1,574-2,075</t>
  </si>
  <si>
    <t>kol.č.85</t>
  </si>
  <si>
    <t>1,464-2,075</t>
  </si>
  <si>
    <t>kol.č.87</t>
  </si>
  <si>
    <t>1,528-2,152</t>
  </si>
  <si>
    <t>kol.č.89</t>
  </si>
  <si>
    <t>kol.č.91</t>
  </si>
  <si>
    <t>1,516-2,199</t>
  </si>
  <si>
    <t>kol.č.93</t>
  </si>
  <si>
    <t>1,549-2,164</t>
  </si>
  <si>
    <t>kol.č.95</t>
  </si>
  <si>
    <t>1,653-2,130</t>
  </si>
  <si>
    <t>kol.č.97</t>
  </si>
  <si>
    <t>1,678-2,095</t>
  </si>
  <si>
    <t>kol.č.97A</t>
  </si>
  <si>
    <t>1,678-2,001</t>
  </si>
  <si>
    <t>kol.č.97B</t>
  </si>
  <si>
    <t>kol.č.97C</t>
  </si>
  <si>
    <t>kol.č.97D</t>
  </si>
  <si>
    <t>1,659-2,001</t>
  </si>
  <si>
    <t>1,358-2,061</t>
  </si>
  <si>
    <t>1,405-2,017</t>
  </si>
  <si>
    <t>0,769-1,012</t>
  </si>
  <si>
    <t>kol.č.5D-5F</t>
  </si>
  <si>
    <t>0,672-1,012</t>
  </si>
  <si>
    <t>kol.č.121A-121C</t>
  </si>
  <si>
    <t>0,879-1,136</t>
  </si>
  <si>
    <t>kol.č.125</t>
  </si>
  <si>
    <t>kol.č.127</t>
  </si>
  <si>
    <t>0,746-1,080</t>
  </si>
  <si>
    <t>kol.č.137+137A</t>
  </si>
  <si>
    <t>kol.č.159</t>
  </si>
  <si>
    <t>kol.č.905</t>
  </si>
  <si>
    <t>0,456-0,758</t>
  </si>
  <si>
    <t>kol.č.903A+903</t>
  </si>
  <si>
    <t>0,532-0,713</t>
  </si>
  <si>
    <t>kol.č.201A</t>
  </si>
  <si>
    <t>kol.č.201B</t>
  </si>
  <si>
    <t>2,603-762</t>
  </si>
  <si>
    <t>2,526-762</t>
  </si>
  <si>
    <t>2,172-983</t>
  </si>
  <si>
    <t>2,127-652</t>
  </si>
  <si>
    <t>kol.č.605A+605</t>
  </si>
  <si>
    <t>2,539-864</t>
  </si>
  <si>
    <t>kol.č.401</t>
  </si>
  <si>
    <t>0,264-1,243</t>
  </si>
  <si>
    <t>1,319-0,282</t>
  </si>
  <si>
    <t>kol.č.407F-407B</t>
  </si>
  <si>
    <t>0,532-2,578</t>
  </si>
  <si>
    <t>0,590-2,505</t>
  </si>
  <si>
    <t>2,045-138</t>
  </si>
  <si>
    <t>kol.č.8A</t>
  </si>
  <si>
    <t>0,990-1,099</t>
  </si>
  <si>
    <t>kol.č.10B-10</t>
  </si>
  <si>
    <t>1,281-716</t>
  </si>
  <si>
    <t>1,264-728</t>
  </si>
  <si>
    <t>1,082-979</t>
  </si>
  <si>
    <t>1,157-891</t>
  </si>
  <si>
    <t>1,194-891</t>
  </si>
  <si>
    <t>1,231-924</t>
  </si>
  <si>
    <t>1,231-872</t>
  </si>
  <si>
    <t>1,065-872</t>
  </si>
  <si>
    <t>1,284-796</t>
  </si>
  <si>
    <t>1,298-796</t>
  </si>
  <si>
    <t>1,298-907</t>
  </si>
  <si>
    <t>1,285-844</t>
  </si>
  <si>
    <t>1,285-837</t>
  </si>
  <si>
    <t>1,297-795</t>
  </si>
  <si>
    <t>1,343-758</t>
  </si>
  <si>
    <t>1,424-758</t>
  </si>
  <si>
    <t>1,424-761</t>
  </si>
  <si>
    <t>1,447-761</t>
  </si>
  <si>
    <t>1,830-971</t>
  </si>
  <si>
    <t>1,729-971</t>
  </si>
  <si>
    <t>1,684-777</t>
  </si>
  <si>
    <t>1,711-764</t>
  </si>
  <si>
    <t>0,678-765</t>
  </si>
  <si>
    <t>2,279-353</t>
  </si>
  <si>
    <t>1,457-680</t>
  </si>
  <si>
    <t>kol.č.10A</t>
  </si>
  <si>
    <t>0,994-1,099</t>
  </si>
  <si>
    <t>kol.č.122A+122B</t>
  </si>
  <si>
    <t>0,878-1,096</t>
  </si>
  <si>
    <t>0,678-1,080</t>
  </si>
  <si>
    <t>kol.č.134</t>
  </si>
  <si>
    <t>2,717-983</t>
  </si>
  <si>
    <t>kol.č.136</t>
  </si>
  <si>
    <t>2,252-326</t>
  </si>
  <si>
    <t>kol.č.406-406B</t>
  </si>
  <si>
    <t>0,400-0,231</t>
  </si>
  <si>
    <t>kol.č.408</t>
  </si>
  <si>
    <t>0,381-1,131</t>
  </si>
  <si>
    <t>kol.č.90A-90D</t>
  </si>
  <si>
    <t>0,017-1,315</t>
  </si>
  <si>
    <t>kol.č.138</t>
  </si>
  <si>
    <t>2,677-2,781</t>
  </si>
  <si>
    <t>Rybniště - Varnsdorf</t>
  </si>
  <si>
    <t>0,078-10,561</t>
  </si>
  <si>
    <t>Varnsdorf - st. hr.</t>
  </si>
  <si>
    <t>10,499-13,706</t>
  </si>
  <si>
    <t>10,813-11,362</t>
  </si>
  <si>
    <t>10,885-11,256</t>
  </si>
  <si>
    <t>kol.č.3B</t>
  </si>
  <si>
    <t>10,710-10,858</t>
  </si>
  <si>
    <t>10,858-11,321</t>
  </si>
  <si>
    <t>11,428-459</t>
  </si>
  <si>
    <t>Hubení porostu herbicidy ručně</t>
  </si>
  <si>
    <t>osobní + vnější nádraží</t>
  </si>
  <si>
    <t>seřaďovací nádraží</t>
  </si>
  <si>
    <t>kol.č.4A-4I</t>
  </si>
  <si>
    <t>kol.č.97E</t>
  </si>
  <si>
    <t>1,609-684</t>
  </si>
  <si>
    <t>2,578-4,753</t>
  </si>
  <si>
    <t>kol.č.601-1B</t>
  </si>
  <si>
    <t>kol.č.603-3B</t>
  </si>
  <si>
    <t>3,670-4,712</t>
  </si>
  <si>
    <t>4,328-629</t>
  </si>
  <si>
    <t>vjezdové nádraží + Trmice</t>
  </si>
  <si>
    <t>3,860-5,301</t>
  </si>
  <si>
    <t>0,105-2,074</t>
  </si>
  <si>
    <t>kol.č.57+57B</t>
  </si>
  <si>
    <t>kol.č.57K</t>
  </si>
  <si>
    <t>2,040-119</t>
  </si>
  <si>
    <t>5,301-10,806</t>
  </si>
  <si>
    <t>Žst. Chabařovice</t>
  </si>
  <si>
    <t>10,839-12,198</t>
  </si>
  <si>
    <t>10,806-12,231</t>
  </si>
  <si>
    <t>kol.č.3A-3B</t>
  </si>
  <si>
    <t>11,002-990</t>
  </si>
  <si>
    <t>11,034-945</t>
  </si>
  <si>
    <t>11,368-900</t>
  </si>
  <si>
    <t>11,063-984</t>
  </si>
  <si>
    <t>kol.č.6+6B</t>
  </si>
  <si>
    <t>11,063-12,067</t>
  </si>
  <si>
    <t>Chabařovice - Krupka-Bohosudov</t>
  </si>
  <si>
    <t>12,231-13,827</t>
  </si>
  <si>
    <t>TO Ústí nad Labem hl.n.</t>
  </si>
  <si>
    <t>plevel</t>
  </si>
  <si>
    <t>přeslička</t>
  </si>
  <si>
    <t>Žst. Hrobce</t>
  </si>
  <si>
    <t>Sudé                                                    kol.č.2</t>
  </si>
  <si>
    <t>Liché                                                    kol.č.1</t>
  </si>
  <si>
    <t>480,477 - 481,739</t>
  </si>
  <si>
    <t>480,716 - 481,424</t>
  </si>
  <si>
    <t>13,126 - 696</t>
  </si>
  <si>
    <t>Liché                              kol.č.901-601</t>
  </si>
  <si>
    <t>Sudé                           kol.č.902-602A</t>
  </si>
  <si>
    <t>"průmyslová" kolej</t>
  </si>
  <si>
    <t xml:space="preserve"> kol.č.5A+5B</t>
  </si>
  <si>
    <t>Trať. úsek  Čížkovice - Libochovice</t>
  </si>
  <si>
    <t>Roudnice n.L. - Hrobce</t>
  </si>
  <si>
    <t>Roudnice n.L. - Straškov</t>
  </si>
  <si>
    <t>Libochovice - Budyně n.O.</t>
  </si>
  <si>
    <t>Budyně n.O. - Straškov</t>
  </si>
  <si>
    <t>Sudé                                  kol.č.2A-2C</t>
  </si>
  <si>
    <t>Liché                                 kol.č.5A+5B</t>
  </si>
  <si>
    <t>Liché                                 kol.č.1A-1D</t>
  </si>
  <si>
    <t>Čížkovice - Chotěšov pod Hazmburkem</t>
  </si>
  <si>
    <t>4,392 - 9,858</t>
  </si>
  <si>
    <t>Žst. Chotěšov p.H.</t>
  </si>
  <si>
    <t>Chotěšov p. H. - Libochovice</t>
  </si>
  <si>
    <t>1. kolo:</t>
  </si>
  <si>
    <t>2. kolo:</t>
  </si>
  <si>
    <t>srpen - září</t>
  </si>
  <si>
    <t>10,136 - 13,275</t>
  </si>
  <si>
    <t>Liché                                                       kol.č.1</t>
  </si>
  <si>
    <t>Straškov - Vraňany n.Vlt.</t>
  </si>
  <si>
    <t>Žst. Libochovice</t>
  </si>
  <si>
    <t>3,915 - 4,392</t>
  </si>
  <si>
    <t>9,858 - 10,136</t>
  </si>
  <si>
    <t>13,275 - 13,981</t>
  </si>
  <si>
    <t>část vlečky do Mondi Štětí a.s.</t>
  </si>
  <si>
    <t>Trať Lovosice - Litoměřice h.n.</t>
  </si>
  <si>
    <t>6,508 - 776</t>
  </si>
  <si>
    <t>13,465 - 818</t>
  </si>
  <si>
    <t>13,504 - 781</t>
  </si>
  <si>
    <t>přeslička (2.TK)</t>
  </si>
  <si>
    <t>Trať. úsek Děčín východ - Loubí + Pr. Žleb</t>
  </si>
  <si>
    <t>Délka km 1. kolo</t>
  </si>
  <si>
    <t>Délka km 2. kolo</t>
  </si>
  <si>
    <t>z toho plevel:</t>
  </si>
  <si>
    <t>plevel:</t>
  </si>
  <si>
    <t>z toho přeslička:</t>
  </si>
  <si>
    <t>Zhotovitel:</t>
  </si>
  <si>
    <t>0,2/0,72</t>
  </si>
  <si>
    <t>Roundup Klasik Pro</t>
  </si>
  <si>
    <t>Roundup Klasik Pro / Dicopur M750</t>
  </si>
  <si>
    <t>Dávka je předpokládaná při využití technologie selektivní aplikace</t>
  </si>
  <si>
    <t>2/0,72</t>
  </si>
  <si>
    <t>Trať. úsek Mikulášovice d.n. - Panský - Rumburk/Kr. Lípa</t>
  </si>
  <si>
    <t>7,195x2 1.+2.TK</t>
  </si>
  <si>
    <t>7,310x2 1.+2.TK</t>
  </si>
  <si>
    <t>6,307x2 1.+2.TK</t>
  </si>
  <si>
    <t>3,399x2 1.+2.TK</t>
  </si>
  <si>
    <t>6,184x2 1.+2.TK</t>
  </si>
  <si>
    <t>3,680x2 1.+2.TK</t>
  </si>
  <si>
    <t>4,639x2 1.+2.TK</t>
  </si>
  <si>
    <t>5,512x2 1.+2.TK</t>
  </si>
  <si>
    <t>5,118x2 1.+2.TK</t>
  </si>
  <si>
    <t>7,762x2 1.+2.TK</t>
  </si>
  <si>
    <t>9,257x2 1.+2.TK</t>
  </si>
  <si>
    <t>5,505x2 1.+2.TK</t>
  </si>
  <si>
    <t>1,596x2 1.+2.TK</t>
  </si>
  <si>
    <t>7,524x2 1.+2.TK</t>
  </si>
  <si>
    <t>10,208x2 1.+2.TK</t>
  </si>
  <si>
    <t>5,232x2 1.+2.TK</t>
  </si>
  <si>
    <t>11,054x2 1.+2.TK</t>
  </si>
  <si>
    <t>2,156x2 1.+2.TK</t>
  </si>
  <si>
    <t>5,069x2 1.+2.TK</t>
  </si>
  <si>
    <t>6,951x2 1.+2.TK</t>
  </si>
  <si>
    <t>Horní Podluží st.</t>
  </si>
  <si>
    <t>19,070-272</t>
  </si>
  <si>
    <t>2,800 - 3,400</t>
  </si>
  <si>
    <t>Roundup 2 L/km:</t>
  </si>
  <si>
    <t>Roundup 0,2 L/km:</t>
  </si>
  <si>
    <t>km</t>
  </si>
  <si>
    <t>Technický dozor:Andraško Jan VPS, Maršálek Martin VM</t>
  </si>
  <si>
    <t>Mobil:Andraško - 724 030 225, Maršálek - 720 079 307</t>
  </si>
  <si>
    <r>
      <rPr>
        <sz val="11"/>
        <rFont val="Calibri"/>
        <family val="2"/>
        <charset val="238"/>
        <scheme val="minor"/>
      </rPr>
      <t xml:space="preserve">1,762x2 1.+2.TK </t>
    </r>
    <r>
      <rPr>
        <sz val="11"/>
        <color rgb="FFFF0000"/>
        <rFont val="Calibri"/>
        <family val="2"/>
        <charset val="238"/>
        <scheme val="minor"/>
      </rPr>
      <t>!!vynechat propustky!!</t>
    </r>
  </si>
  <si>
    <t>vlečka u rampy</t>
  </si>
  <si>
    <t>neprůjezdná 380m</t>
  </si>
  <si>
    <t>416,550 - 416,770 P pás 20 m ke zdi</t>
  </si>
  <si>
    <t>456,181-456,303</t>
  </si>
  <si>
    <t>bude sjízdná?</t>
  </si>
  <si>
    <t>20,160-359</t>
  </si>
  <si>
    <t>20,212-472</t>
  </si>
  <si>
    <t>20,091-187</t>
  </si>
  <si>
    <t>20,071-351</t>
  </si>
  <si>
    <t>20,160-332</t>
  </si>
  <si>
    <r>
      <t>4400 m</t>
    </r>
    <r>
      <rPr>
        <b/>
        <vertAlign val="superscript"/>
        <sz val="11"/>
        <color indexed="8"/>
        <rFont val="Calibri"/>
        <family val="2"/>
        <charset val="238"/>
      </rPr>
      <t>2</t>
    </r>
    <r>
      <rPr>
        <b/>
        <sz val="11"/>
        <color indexed="8"/>
        <rFont val="Calibri"/>
        <family val="2"/>
        <charset val="238"/>
      </rPr>
      <t>/kolo</t>
    </r>
  </si>
  <si>
    <t>7,890x2 1.+2.TK</t>
  </si>
  <si>
    <t>Technický dozor:Polák Jiří VPS, Šrámek Daniel VM</t>
  </si>
  <si>
    <t>Mobil: Polák - 725 057 267, Šrámek - 725 566 964</t>
  </si>
  <si>
    <t>Technický dozor: Bušek Milan VPS, Mansfeld Jan VM</t>
  </si>
  <si>
    <t>Technický dozor: Bušek Milan VPS, Urban Radek VM</t>
  </si>
  <si>
    <t>Mobil: Bušek - 724 346 595, Urban - 724 023 701</t>
  </si>
  <si>
    <t>LT hor.n. - Liběšice</t>
  </si>
  <si>
    <t>Žst. Liběšice</t>
  </si>
  <si>
    <t>57,650 - 991</t>
  </si>
  <si>
    <t>Liběšice - Úštěk</t>
  </si>
  <si>
    <t>Žst. Úštěk</t>
  </si>
  <si>
    <t>58,048 - 61,764</t>
  </si>
  <si>
    <t>61,821 - 62,225</t>
  </si>
  <si>
    <t>Úštěk - Blíževedly</t>
  </si>
  <si>
    <t>62,279 - 69,211</t>
  </si>
  <si>
    <t>Trať. úsek Benešov n.Pl. - Horní Police</t>
  </si>
  <si>
    <t>Benešov n.Pl. - Františkov n.Pl.</t>
  </si>
  <si>
    <t>0,055 - 2,599</t>
  </si>
  <si>
    <t>Žst. Františkov n.Pl.</t>
  </si>
  <si>
    <t>2,632 - 3,299</t>
  </si>
  <si>
    <t>Františkov n.Pl. - Horní Police</t>
  </si>
  <si>
    <t>3,341 - 9,142</t>
  </si>
  <si>
    <t>458,058-995</t>
  </si>
  <si>
    <t>Technický dozor:Hrabovčák Miroslav VPS, Svítek Jiří VM</t>
  </si>
  <si>
    <t>Mobil:Hrabovčák - 724 038 565, Svítek - 724 890 185</t>
  </si>
  <si>
    <t xml:space="preserve"> </t>
  </si>
  <si>
    <t>Žim - km 19,1-19,3 P</t>
  </si>
  <si>
    <t>kropit jen 2.TK!</t>
  </si>
  <si>
    <t>jen 1.TK!</t>
  </si>
  <si>
    <t>2,012x2 1.+2.TK</t>
  </si>
  <si>
    <t>UL západ - Chabařovice</t>
  </si>
  <si>
    <t>kol.č.409A-409</t>
  </si>
  <si>
    <t>0,000-0,510</t>
  </si>
  <si>
    <t>1,372-1,070</t>
  </si>
  <si>
    <t>2,578-3,746</t>
  </si>
  <si>
    <t>Sudé                           kol.č.602-602D</t>
  </si>
  <si>
    <t>kropit až za mostem!</t>
  </si>
  <si>
    <t>21,600-25,617</t>
  </si>
  <si>
    <t xml:space="preserve"> kol.č.5b</t>
  </si>
  <si>
    <t>jen 125m</t>
  </si>
  <si>
    <t>379,861 - 380,117</t>
  </si>
  <si>
    <t>450,438-455,750</t>
  </si>
  <si>
    <t>Technický dozor:Dvořák Čestmír VPS, Kraus Martin VM</t>
  </si>
  <si>
    <t>Mobil:Dvořák - 724 805 793, Kraus - 601 116 320</t>
  </si>
  <si>
    <t>476,054 - 710</t>
  </si>
  <si>
    <t>475,234 - 989</t>
  </si>
  <si>
    <t xml:space="preserve"> kol.č.3C+3D+3E+3F+3G+3B</t>
  </si>
  <si>
    <t>476,101 - 581</t>
  </si>
  <si>
    <t>475,761-989</t>
  </si>
  <si>
    <t>475,653 - 919</t>
  </si>
  <si>
    <t>476,026 - 782</t>
  </si>
  <si>
    <t>475,653 - 975</t>
  </si>
  <si>
    <t>Záběr 5 m</t>
  </si>
  <si>
    <t>Záběr 6 m</t>
  </si>
  <si>
    <t>Suma:</t>
  </si>
  <si>
    <t>Σ m2</t>
  </si>
  <si>
    <t xml:space="preserve">celkový postřik </t>
  </si>
  <si>
    <t xml:space="preserve"> ha</t>
  </si>
  <si>
    <t>předpoklad Roundup Klasik Pro</t>
  </si>
  <si>
    <t>l/ha*kolo</t>
  </si>
  <si>
    <t>předpoklad Dicopur M750</t>
  </si>
  <si>
    <t>předpoklad voda</t>
  </si>
  <si>
    <t>l</t>
  </si>
  <si>
    <t xml:space="preserve">celkem voda </t>
  </si>
  <si>
    <t>m3</t>
  </si>
  <si>
    <t>celkem za 1 kolo Roundup klasik pro</t>
  </si>
  <si>
    <t>celkem za 1 kolo Dicopur M 750</t>
  </si>
  <si>
    <t>Liché                                           kol.č.1A-1B</t>
  </si>
  <si>
    <t>Liché                                         kol.č.1A-1B</t>
  </si>
  <si>
    <t>Sudé                                          kol.č.2A-2B</t>
  </si>
  <si>
    <t>Liché                                           kol.č.1A-1C</t>
  </si>
  <si>
    <t>Liché                                         kol.č.1A-1C</t>
  </si>
  <si>
    <t>Sudé                                         kol.č.2A-2B</t>
  </si>
  <si>
    <t>Liché                                        kol.č.1A-1B</t>
  </si>
  <si>
    <t xml:space="preserve"> Sudé                                         kol.č.2A-2B</t>
  </si>
  <si>
    <t>z toho přeslička</t>
  </si>
  <si>
    <t>celkový postřik</t>
  </si>
  <si>
    <t>Mobil:Kučera - 724 007 802, Häusler - 724 011 165</t>
  </si>
  <si>
    <t>Liché                                             kol.č.1-1C</t>
  </si>
  <si>
    <t>Sudé                                           kol.č.2A-2E</t>
  </si>
  <si>
    <t>Liché                                          kol.č.1A-1D</t>
  </si>
  <si>
    <t>Sudé                                           kol.č.2+102</t>
  </si>
  <si>
    <t>Liché                                           kol.č.1A-1F</t>
  </si>
  <si>
    <t>Sudé                                               kol.č.102</t>
  </si>
  <si>
    <t>Liché                                          kol.č.1+101</t>
  </si>
  <si>
    <t>Liché                                                   kol.č.1</t>
  </si>
  <si>
    <t>Liché                                          kol.č.1X-1A</t>
  </si>
  <si>
    <t>Liché                                          kol.č.1A-1C</t>
  </si>
  <si>
    <t>Liché                                          kol.č.1A-1B</t>
  </si>
  <si>
    <t>Sudé                                            kol.č.2+2A</t>
  </si>
  <si>
    <t>Liché                                         kol.č.1C-1N</t>
  </si>
  <si>
    <t>Mobil: Beran-724070454, Nádvorník-601588741</t>
  </si>
  <si>
    <t>Liché                                           kol.č.1D-1C</t>
  </si>
  <si>
    <t>Sudé                                                     kol.č.2</t>
  </si>
  <si>
    <t>Liché                                             kol.č.1+1A</t>
  </si>
  <si>
    <t>Liché                                              kol.č.1+1A</t>
  </si>
  <si>
    <t>Sudé                                                      kol.č.2</t>
  </si>
  <si>
    <t>Liché                                            kol.č.1A-1D</t>
  </si>
  <si>
    <t>Liché                                            kol.č.1C-1D</t>
  </si>
  <si>
    <t>Liché                                                kol.č.1A+1</t>
  </si>
  <si>
    <t>Sudé                                                        kol.č.2</t>
  </si>
  <si>
    <t>Liché                                                        kol.č.1</t>
  </si>
  <si>
    <t>Žst. Čížkovice                                      kol.č. 1</t>
  </si>
  <si>
    <t>Liché                                                  kol.č.1</t>
  </si>
  <si>
    <t>Sudé                                                  kol.č.2</t>
  </si>
  <si>
    <t>m2</t>
  </si>
  <si>
    <t>Souvislý postřik celého profilu KL         šíře 5 m</t>
  </si>
  <si>
    <t>Souvislý postřik celého profilu KL         šíře 6 m</t>
  </si>
  <si>
    <t>drátovodné trasy umístěné do 5 m od osy krajní koleje</t>
  </si>
  <si>
    <t>květen</t>
  </si>
  <si>
    <t>Celkem (km):</t>
  </si>
  <si>
    <t>počet km</t>
  </si>
  <si>
    <t>spotřeba:</t>
  </si>
  <si>
    <t>počet ha</t>
  </si>
  <si>
    <t>Roundup 0,72 L/km:</t>
  </si>
  <si>
    <t>SUMA (km):</t>
  </si>
  <si>
    <t>Roundup celkem (L):</t>
  </si>
  <si>
    <t>Dicopur celkem (L):</t>
  </si>
  <si>
    <t>Roundup (ha):</t>
  </si>
  <si>
    <t>Dicopur (ha):</t>
  </si>
  <si>
    <t>Liché                                                     kol.č.1</t>
  </si>
  <si>
    <t>Liché                                               kol.č.1A-1F</t>
  </si>
  <si>
    <t>Sudé                                              kol.č.2A-2D</t>
  </si>
  <si>
    <t>Liché                                              kol.č.91A</t>
  </si>
  <si>
    <t>Sudé                                                 kol.č.90</t>
  </si>
  <si>
    <t>Sudé                                                   kol.č.2</t>
  </si>
  <si>
    <t>vyloučená</t>
  </si>
  <si>
    <t>Liché                                   kol.č.103+103A</t>
  </si>
  <si>
    <t>nekropit, nové</t>
  </si>
  <si>
    <t>kol.č.409B</t>
  </si>
  <si>
    <t>137A výluka, přesto kropit</t>
  </si>
  <si>
    <t>nekropit, čistá</t>
  </si>
  <si>
    <t>kropit úsek 476,310-710</t>
  </si>
  <si>
    <t>Celkem přeslička:</t>
  </si>
  <si>
    <t>celkem plevel:</t>
  </si>
  <si>
    <t>Postřik náletů dřevin mimo KL (jednostr. 6 m)</t>
  </si>
  <si>
    <t>1 kolo:</t>
  </si>
  <si>
    <t>Dobkovičky - Chotiměř</t>
  </si>
  <si>
    <t>26,535 - 735</t>
  </si>
  <si>
    <t>26,954 - 27,154</t>
  </si>
  <si>
    <t>26,954 - 27,117</t>
  </si>
  <si>
    <t>Žst. Ústí n.L. sever</t>
  </si>
  <si>
    <t>517,542 - 519,932</t>
  </si>
  <si>
    <t>Liché                      kol.č.921-201G</t>
  </si>
  <si>
    <t>517,471 - 712</t>
  </si>
  <si>
    <t>kol.č.923-203D</t>
  </si>
  <si>
    <t xml:space="preserve">517,745 - 519,896 </t>
  </si>
  <si>
    <t>kol.č.205+205D</t>
  </si>
  <si>
    <t>518,558 - 519,876</t>
  </si>
  <si>
    <t>518,214 - 519,833</t>
  </si>
  <si>
    <t>kol.č.207+207A+207D</t>
  </si>
  <si>
    <t>518,247 - 519,833</t>
  </si>
  <si>
    <t>kol.č.209+209B+209D</t>
  </si>
  <si>
    <t>518,280 - 800</t>
  </si>
  <si>
    <t>kol.č.213A+213</t>
  </si>
  <si>
    <t>518,280 - 889</t>
  </si>
  <si>
    <t>517,542 - 519,966</t>
  </si>
  <si>
    <t>Sudé                       kol.č.922-202F</t>
  </si>
  <si>
    <t>kol.č.204B+204</t>
  </si>
  <si>
    <t>518,491 - 519,512</t>
  </si>
  <si>
    <t>518,579 - 520,143</t>
  </si>
  <si>
    <t>518,648 - 519,369</t>
  </si>
  <si>
    <t>kol.č.208</t>
  </si>
  <si>
    <t>518,648 - 519,303</t>
  </si>
  <si>
    <t>518,688 - 519,303</t>
  </si>
  <si>
    <t>kol.č.216</t>
  </si>
  <si>
    <t>518,645 - 519,270</t>
  </si>
  <si>
    <t>kol.č.218B</t>
  </si>
  <si>
    <t>518,446 - 589</t>
  </si>
  <si>
    <t>kol.č.224</t>
  </si>
  <si>
    <t>519,018 - 270</t>
  </si>
  <si>
    <t>za 2 kola:</t>
  </si>
  <si>
    <t>za 3 kola:</t>
  </si>
  <si>
    <t>ST Ústí nad Labem</t>
  </si>
  <si>
    <t>3. kolo:</t>
  </si>
  <si>
    <t>říjen</t>
  </si>
  <si>
    <t>Chemické hubení plevelů v obvodu ST Ústí nad Labem - 3. kolo</t>
  </si>
  <si>
    <t>Výkaz práce 3. kolo</t>
  </si>
  <si>
    <t>STO</t>
  </si>
  <si>
    <t>Úsek</t>
  </si>
  <si>
    <t>Kolej</t>
  </si>
  <si>
    <t>Vlevo/vpravo</t>
  </si>
  <si>
    <t>Km od</t>
  </si>
  <si>
    <t>Km do</t>
  </si>
  <si>
    <t>jedno- stran.</t>
  </si>
  <si>
    <t>Dávka na Ha</t>
  </si>
  <si>
    <t>Roundup klasik pro, Garlone</t>
  </si>
  <si>
    <t>6,0 m</t>
  </si>
  <si>
    <t>Roudnice</t>
  </si>
  <si>
    <t xml:space="preserve">D. Beřkovice - Hněvice </t>
  </si>
  <si>
    <t>P</t>
  </si>
  <si>
    <t>Hněvice - Roudnice</t>
  </si>
  <si>
    <t>Roudnice - Hrobce</t>
  </si>
  <si>
    <t>L</t>
  </si>
  <si>
    <t>Lovosice</t>
  </si>
  <si>
    <t>Hrobce - Oleško</t>
  </si>
  <si>
    <t>1+2</t>
  </si>
  <si>
    <t>L+P</t>
  </si>
  <si>
    <t>Bohušovice - N. Kopisty</t>
  </si>
  <si>
    <t>Litoměřice</t>
  </si>
  <si>
    <t>Štětí - Hoštka</t>
  </si>
  <si>
    <t>st. Hoštka</t>
  </si>
  <si>
    <t>4.SK</t>
  </si>
  <si>
    <t>Hoštka - Polepy</t>
  </si>
  <si>
    <t>žst. Polepy</t>
  </si>
  <si>
    <t>4. SK</t>
  </si>
  <si>
    <t>Polepy - Litoměřice</t>
  </si>
  <si>
    <t>st. Litoměřice</t>
  </si>
  <si>
    <t>7+9.SK</t>
  </si>
  <si>
    <t>Litoměřice - V. Žernoseky</t>
  </si>
  <si>
    <t>st. V. Žernoseky</t>
  </si>
  <si>
    <t>Sebuzín</t>
  </si>
  <si>
    <t>Ústí n.L. hl.n.</t>
  </si>
  <si>
    <t>Ústí n.L. západ</t>
  </si>
  <si>
    <t>DC východ</t>
  </si>
  <si>
    <t>Sebuzín - UL Střekov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</si>
</sst>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č_-;\-* #,##0.00\ _K_č_-;_-* &quot;-&quot;??\ _K_č_-;_-@_-"/>
    <numFmt numFmtId="164" formatCode="0.000"/>
    <numFmt numFmtId="165" formatCode="0.0"/>
  </numFmts>
  <fonts count="42" x14ac:knownFonts="1">
    <font>
      <sz val="11"/>
      <color theme="1"/>
      <name val="Calibri"/>
      <family val="2"/>
      <charset val="238"/>
      <scheme val="minor"/>
    </font>
    <font>
      <b/>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0"/>
      <name val="Arial"/>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b/>
      <sz val="20"/>
      <color indexed="8"/>
      <name val="Calibri"/>
      <family val="2"/>
      <charset val="238"/>
    </font>
    <font>
      <b/>
      <u/>
      <sz val="14"/>
      <color indexed="8"/>
      <name val="Calibri"/>
      <family val="2"/>
      <charset val="238"/>
    </font>
    <font>
      <i/>
      <sz val="12"/>
      <color indexed="8"/>
      <name val="Calibri"/>
      <family val="2"/>
      <charset val="238"/>
    </font>
    <font>
      <b/>
      <u/>
      <sz val="11"/>
      <color indexed="8"/>
      <name val="Calibri"/>
      <family val="2"/>
      <charset val="238"/>
    </font>
    <font>
      <sz val="11"/>
      <name val="Calibri"/>
      <family val="2"/>
      <charset val="238"/>
    </font>
    <font>
      <b/>
      <sz val="11"/>
      <name val="Calibri"/>
      <family val="2"/>
      <charset val="238"/>
    </font>
    <font>
      <b/>
      <sz val="14"/>
      <color theme="1"/>
      <name val="Calibri"/>
      <family val="2"/>
      <charset val="238"/>
      <scheme val="minor"/>
    </font>
    <font>
      <sz val="10"/>
      <color theme="1"/>
      <name val="Calibri"/>
      <family val="2"/>
      <charset val="238"/>
      <scheme val="minor"/>
    </font>
    <font>
      <b/>
      <sz val="10"/>
      <color theme="1"/>
      <name val="Calibri"/>
      <family val="2"/>
      <charset val="238"/>
      <scheme val="minor"/>
    </font>
    <font>
      <sz val="11"/>
      <color theme="1"/>
      <name val="Calibri"/>
      <family val="2"/>
      <charset val="238"/>
      <scheme val="minor"/>
    </font>
    <font>
      <b/>
      <sz val="11"/>
      <color rgb="FFFF0000"/>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vertAlign val="superscript"/>
      <sz val="11"/>
      <color indexed="8"/>
      <name val="Calibri"/>
      <family val="2"/>
      <charset val="238"/>
    </font>
    <font>
      <sz val="8"/>
      <color theme="1"/>
      <name val="Calibri"/>
      <family val="2"/>
      <charset val="238"/>
      <scheme val="minor"/>
    </font>
    <font>
      <b/>
      <sz val="10"/>
      <name val="Arial"/>
      <family val="2"/>
      <charset val="238"/>
    </font>
    <font>
      <sz val="10"/>
      <name val="Times New Roman"/>
      <family val="1"/>
      <charset val="238"/>
    </font>
    <font>
      <b/>
      <sz val="10"/>
      <name val="Times New Roman"/>
      <family val="1"/>
      <charset val="238"/>
    </font>
    <font>
      <b/>
      <u/>
      <sz val="11"/>
      <name val="Calibri"/>
      <family val="2"/>
      <charset val="238"/>
      <scheme val="minor"/>
    </font>
    <font>
      <sz val="11"/>
      <color rgb="FFC00000"/>
      <name val="Calibri"/>
      <family val="2"/>
      <charset val="238"/>
      <scheme val="minor"/>
    </font>
    <font>
      <sz val="11"/>
      <color rgb="FF0000FF"/>
      <name val="Calibri"/>
      <family val="2"/>
      <charset val="238"/>
      <scheme val="minor"/>
    </font>
  </fonts>
  <fills count="3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rgb="FF66FF33"/>
        <bgColor indexed="64"/>
      </patternFill>
    </fill>
    <fill>
      <patternFill patternType="solid">
        <fgColor rgb="FF19FF1E"/>
        <bgColor indexed="64"/>
      </patternFill>
    </fill>
    <fill>
      <patternFill patternType="solid">
        <fgColor rgb="FF00B0F0"/>
        <bgColor indexed="64"/>
      </patternFill>
    </fill>
    <fill>
      <patternFill patternType="solid">
        <fgColor rgb="FF6DFD55"/>
        <bgColor indexed="64"/>
      </patternFill>
    </fill>
    <fill>
      <patternFill patternType="solid">
        <fgColor theme="8" tint="0.59999389629810485"/>
        <bgColor indexed="64"/>
      </patternFill>
    </fill>
  </fills>
  <borders count="108">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8"/>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right style="medium">
        <color indexed="64"/>
      </right>
      <top/>
      <bottom style="thin">
        <color indexed="8"/>
      </bottom>
      <diagonal/>
    </border>
    <border>
      <left style="medium">
        <color indexed="64"/>
      </left>
      <right style="medium">
        <color indexed="64"/>
      </right>
      <top style="thin">
        <color indexed="64"/>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right style="medium">
        <color indexed="8"/>
      </right>
      <top/>
      <bottom/>
      <diagonal/>
    </border>
    <border>
      <left/>
      <right style="medium">
        <color indexed="64"/>
      </right>
      <top/>
      <bottom/>
      <diagonal/>
    </border>
    <border>
      <left style="medium">
        <color indexed="64"/>
      </left>
      <right/>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style="medium">
        <color indexed="64"/>
      </left>
      <right/>
      <top/>
      <bottom style="thin">
        <color indexed="64"/>
      </bottom>
      <diagonal/>
    </border>
    <border>
      <left style="medium">
        <color indexed="64"/>
      </left>
      <right style="medium">
        <color indexed="8"/>
      </right>
      <top/>
      <bottom style="thin">
        <color indexed="64"/>
      </bottom>
      <diagonal/>
    </border>
    <border>
      <left style="medium">
        <color indexed="64"/>
      </left>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medium">
        <color indexed="64"/>
      </right>
      <top style="thin">
        <color indexed="64"/>
      </top>
      <bottom/>
      <diagonal/>
    </border>
    <border>
      <left/>
      <right style="medium">
        <color indexed="8"/>
      </right>
      <top style="thin">
        <color indexed="64"/>
      </top>
      <bottom/>
      <diagonal/>
    </border>
    <border>
      <left style="thin">
        <color indexed="8"/>
      </left>
      <right/>
      <top/>
      <bottom/>
      <diagonal/>
    </border>
    <border>
      <left/>
      <right style="medium">
        <color indexed="64"/>
      </right>
      <top/>
      <bottom style="thin">
        <color indexed="64"/>
      </bottom>
      <diagonal/>
    </border>
    <border>
      <left/>
      <right style="medium">
        <color indexed="8"/>
      </right>
      <top/>
      <bottom style="thin">
        <color indexed="64"/>
      </bottom>
      <diagonal/>
    </border>
    <border>
      <left/>
      <right style="thin">
        <color indexed="8"/>
      </right>
      <top/>
      <bottom style="thin">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s>
  <cellStyleXfs count="48">
    <xf numFmtId="0" fontId="0"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17" borderId="0" applyNumberFormat="0" applyBorder="0" applyAlignment="0" applyProtection="0"/>
    <xf numFmtId="0" fontId="12" fillId="0" borderId="0"/>
    <xf numFmtId="0" fontId="12" fillId="0" borderId="0"/>
    <xf numFmtId="0" fontId="12" fillId="0" borderId="0"/>
    <xf numFmtId="0" fontId="2" fillId="0" borderId="0"/>
    <xf numFmtId="0" fontId="2" fillId="18" borderId="6" applyNumberFormat="0" applyAlignment="0" applyProtection="0"/>
    <xf numFmtId="0" fontId="13" fillId="0" borderId="7" applyNumberFormat="0" applyFill="0" applyAlignment="0" applyProtection="0"/>
    <xf numFmtId="0" fontId="14" fillId="4" borderId="0" applyNumberFormat="0" applyBorder="0" applyAlignment="0" applyProtection="0"/>
    <xf numFmtId="0" fontId="15" fillId="0" borderId="0" applyNumberFormat="0" applyFill="0" applyBorder="0" applyAlignment="0" applyProtection="0"/>
    <xf numFmtId="0" fontId="16" fillId="7" borderId="8" applyNumberFormat="0" applyAlignment="0" applyProtection="0"/>
    <xf numFmtId="0" fontId="17" fillId="19" borderId="8" applyNumberFormat="0" applyAlignment="0" applyProtection="0"/>
    <xf numFmtId="0" fontId="18" fillId="19" borderId="9" applyNumberFormat="0" applyAlignment="0" applyProtection="0"/>
    <xf numFmtId="0" fontId="19"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xf numFmtId="43" fontId="29" fillId="0" borderId="0" applyFont="0" applyFill="0" applyBorder="0" applyAlignment="0" applyProtection="0"/>
  </cellStyleXfs>
  <cellXfs count="387">
    <xf numFmtId="0" fontId="0" fillId="0" borderId="0" xfId="0"/>
    <xf numFmtId="0" fontId="2" fillId="0" borderId="0" xfId="1"/>
    <xf numFmtId="0" fontId="20" fillId="0" borderId="0" xfId="1" applyFont="1"/>
    <xf numFmtId="0" fontId="21" fillId="0" borderId="0" xfId="1" applyFont="1"/>
    <xf numFmtId="0" fontId="22" fillId="0" borderId="0" xfId="1" applyFont="1"/>
    <xf numFmtId="164" fontId="2" fillId="0" borderId="0" xfId="1" applyNumberFormat="1" applyAlignment="1">
      <alignment horizontal="center"/>
    </xf>
    <xf numFmtId="164" fontId="2" fillId="0" borderId="11" xfId="1" applyNumberFormat="1" applyBorder="1" applyAlignment="1">
      <alignment horizontal="center"/>
    </xf>
    <xf numFmtId="0" fontId="0" fillId="0" borderId="10" xfId="0" applyBorder="1" applyAlignment="1">
      <alignment horizontal="center"/>
    </xf>
    <xf numFmtId="0" fontId="0" fillId="0" borderId="10" xfId="0" applyBorder="1"/>
    <xf numFmtId="0" fontId="0" fillId="0" borderId="13" xfId="0" applyBorder="1"/>
    <xf numFmtId="0" fontId="0" fillId="0" borderId="14" xfId="0" applyBorder="1"/>
    <xf numFmtId="0" fontId="0" fillId="0" borderId="0" xfId="0" applyBorder="1"/>
    <xf numFmtId="0" fontId="1" fillId="0" borderId="13" xfId="0" applyFont="1" applyBorder="1"/>
    <xf numFmtId="0" fontId="0" fillId="0" borderId="10" xfId="0" applyBorder="1" applyAlignment="1">
      <alignment horizontal="right"/>
    </xf>
    <xf numFmtId="0" fontId="0" fillId="0" borderId="13" xfId="0" applyBorder="1" applyAlignment="1">
      <alignment horizontal="right"/>
    </xf>
    <xf numFmtId="0" fontId="1" fillId="0" borderId="10" xfId="0" applyFont="1" applyBorder="1" applyAlignment="1">
      <alignment horizontal="left"/>
    </xf>
    <xf numFmtId="0" fontId="0" fillId="0" borderId="13" xfId="0" applyFont="1" applyBorder="1" applyAlignment="1">
      <alignment horizontal="right"/>
    </xf>
    <xf numFmtId="0" fontId="0" fillId="0" borderId="13" xfId="0" applyBorder="1" applyAlignment="1">
      <alignment horizontal="center"/>
    </xf>
    <xf numFmtId="0" fontId="1" fillId="25" borderId="15" xfId="0" applyFont="1" applyFill="1" applyBorder="1" applyAlignment="1">
      <alignment horizontal="center" vertical="center"/>
    </xf>
    <xf numFmtId="0" fontId="1" fillId="25" borderId="16" xfId="0" applyFont="1" applyFill="1" applyBorder="1" applyAlignment="1">
      <alignment horizontal="center" vertical="center"/>
    </xf>
    <xf numFmtId="0" fontId="1" fillId="25" borderId="17" xfId="0" applyFont="1" applyFill="1" applyBorder="1" applyAlignment="1">
      <alignment horizontal="center" vertical="center"/>
    </xf>
    <xf numFmtId="0" fontId="1" fillId="0" borderId="24" xfId="0" applyFont="1" applyBorder="1" applyAlignment="1"/>
    <xf numFmtId="0" fontId="1" fillId="0" borderId="25" xfId="0" applyFont="1" applyBorder="1" applyAlignment="1"/>
    <xf numFmtId="0" fontId="0" fillId="0" borderId="0" xfId="0" applyAlignment="1">
      <alignment horizontal="center"/>
    </xf>
    <xf numFmtId="0" fontId="27" fillId="0" borderId="13" xfId="0" applyFont="1" applyBorder="1"/>
    <xf numFmtId="0" fontId="27" fillId="0" borderId="0" xfId="0" applyFont="1"/>
    <xf numFmtId="0" fontId="28" fillId="25" borderId="16" xfId="0" applyFont="1" applyFill="1" applyBorder="1" applyAlignment="1">
      <alignment horizontal="center" vertical="center"/>
    </xf>
    <xf numFmtId="0" fontId="27" fillId="0" borderId="10" xfId="0" applyFont="1" applyBorder="1"/>
    <xf numFmtId="0" fontId="0" fillId="0" borderId="10" xfId="0" applyBorder="1" applyAlignment="1">
      <alignment wrapText="1"/>
    </xf>
    <xf numFmtId="0" fontId="24" fillId="0" borderId="10" xfId="0" applyFont="1" applyBorder="1"/>
    <xf numFmtId="164" fontId="0" fillId="0" borderId="10" xfId="47" applyNumberFormat="1" applyFont="1" applyBorder="1" applyAlignment="1">
      <alignment horizontal="center"/>
    </xf>
    <xf numFmtId="164" fontId="0" fillId="0" borderId="0" xfId="47" applyNumberFormat="1" applyFont="1" applyAlignment="1">
      <alignment horizontal="center"/>
    </xf>
    <xf numFmtId="164" fontId="0" fillId="0" borderId="13" xfId="47" applyNumberFormat="1" applyFont="1" applyBorder="1" applyAlignment="1">
      <alignment horizontal="center"/>
    </xf>
    <xf numFmtId="164" fontId="0" fillId="26" borderId="10" xfId="47" applyNumberFormat="1" applyFont="1" applyFill="1" applyBorder="1" applyAlignment="1">
      <alignment horizontal="center"/>
    </xf>
    <xf numFmtId="0" fontId="1" fillId="0" borderId="10" xfId="0" applyFont="1" applyBorder="1"/>
    <xf numFmtId="0" fontId="0" fillId="0" borderId="10" xfId="0" applyBorder="1" applyAlignment="1">
      <alignment horizontal="center"/>
    </xf>
    <xf numFmtId="0" fontId="0" fillId="0" borderId="10" xfId="0" applyBorder="1" applyAlignment="1">
      <alignment vertical="top"/>
    </xf>
    <xf numFmtId="0" fontId="1" fillId="25" borderId="28" xfId="0" applyFont="1" applyFill="1" applyBorder="1" applyAlignment="1">
      <alignment horizontal="center" vertical="center" wrapText="1"/>
    </xf>
    <xf numFmtId="0" fontId="1" fillId="25" borderId="27" xfId="0" applyFont="1" applyFill="1" applyBorder="1" applyAlignment="1">
      <alignment horizontal="center" vertical="center"/>
    </xf>
    <xf numFmtId="0" fontId="27" fillId="0" borderId="10" xfId="0" applyFont="1" applyBorder="1" applyAlignment="1">
      <alignment vertical="top" wrapText="1"/>
    </xf>
    <xf numFmtId="0" fontId="0" fillId="0" borderId="10" xfId="0" applyBorder="1" applyAlignment="1"/>
    <xf numFmtId="0" fontId="0" fillId="0" borderId="10" xfId="0" applyBorder="1" applyAlignment="1">
      <alignment horizontal="center"/>
    </xf>
    <xf numFmtId="0" fontId="0" fillId="0" borderId="10" xfId="0" applyBorder="1" applyAlignment="1">
      <alignment horizontal="center"/>
    </xf>
    <xf numFmtId="164" fontId="0" fillId="28" borderId="10" xfId="47" applyNumberFormat="1" applyFont="1" applyFill="1" applyBorder="1" applyAlignment="1">
      <alignment horizontal="center"/>
    </xf>
    <xf numFmtId="164" fontId="0" fillId="0" borderId="13" xfId="47" applyNumberFormat="1" applyFont="1" applyFill="1" applyBorder="1" applyAlignment="1">
      <alignment horizontal="center"/>
    </xf>
    <xf numFmtId="0" fontId="0" fillId="0" borderId="10" xfId="0" applyBorder="1" applyAlignment="1">
      <alignment horizontal="center"/>
    </xf>
    <xf numFmtId="164" fontId="0" fillId="0" borderId="10" xfId="47" applyNumberFormat="1" applyFont="1" applyFill="1" applyBorder="1" applyAlignment="1">
      <alignment horizontal="center"/>
    </xf>
    <xf numFmtId="0" fontId="0" fillId="0" borderId="13" xfId="0" applyBorder="1" applyAlignment="1">
      <alignment horizontal="center" vertical="center"/>
    </xf>
    <xf numFmtId="0" fontId="30" fillId="26" borderId="13" xfId="0" applyFont="1" applyFill="1" applyBorder="1" applyAlignment="1">
      <alignment horizontal="left"/>
    </xf>
    <xf numFmtId="0" fontId="30" fillId="0" borderId="10" xfId="0" applyFont="1" applyBorder="1" applyAlignment="1">
      <alignment horizontal="left"/>
    </xf>
    <xf numFmtId="0" fontId="0" fillId="28" borderId="13" xfId="0" applyFill="1" applyBorder="1" applyAlignment="1">
      <alignment horizontal="center"/>
    </xf>
    <xf numFmtId="164" fontId="0" fillId="0" borderId="10" xfId="0" applyNumberFormat="1" applyBorder="1" applyAlignment="1">
      <alignment horizontal="center"/>
    </xf>
    <xf numFmtId="0" fontId="0" fillId="28" borderId="10" xfId="0" applyFill="1" applyBorder="1" applyAlignment="1">
      <alignment horizontal="center"/>
    </xf>
    <xf numFmtId="164" fontId="0" fillId="28" borderId="10" xfId="0" applyNumberFormat="1" applyFill="1" applyBorder="1" applyAlignment="1">
      <alignment horizontal="center"/>
    </xf>
    <xf numFmtId="0" fontId="30" fillId="0" borderId="10" xfId="0" applyFont="1" applyBorder="1"/>
    <xf numFmtId="0" fontId="0" fillId="0" borderId="10" xfId="0" applyFill="1" applyBorder="1" applyAlignment="1">
      <alignment horizontal="center"/>
    </xf>
    <xf numFmtId="0" fontId="0" fillId="0" borderId="10" xfId="0" applyBorder="1" applyAlignment="1">
      <alignment horizontal="center"/>
    </xf>
    <xf numFmtId="0" fontId="31" fillId="0" borderId="10" xfId="0" applyFont="1" applyBorder="1"/>
    <xf numFmtId="0" fontId="32" fillId="0" borderId="10" xfId="0" applyFont="1" applyBorder="1"/>
    <xf numFmtId="0" fontId="0" fillId="0" borderId="10" xfId="0" applyBorder="1" applyAlignment="1">
      <alignment horizontal="center"/>
    </xf>
    <xf numFmtId="0" fontId="0" fillId="0" borderId="10" xfId="0" applyBorder="1" applyAlignment="1">
      <alignment horizontal="center"/>
    </xf>
    <xf numFmtId="0" fontId="0" fillId="0" borderId="29" xfId="0" applyFill="1" applyBorder="1"/>
    <xf numFmtId="0" fontId="0" fillId="0" borderId="10" xfId="0" applyBorder="1" applyAlignment="1">
      <alignment horizontal="center"/>
    </xf>
    <xf numFmtId="0" fontId="0" fillId="0" borderId="10" xfId="0" applyBorder="1" applyAlignment="1">
      <alignment horizontal="center"/>
    </xf>
    <xf numFmtId="0" fontId="4" fillId="0" borderId="33" xfId="1" applyFont="1" applyBorder="1" applyAlignment="1">
      <alignment horizontal="center" wrapText="1"/>
    </xf>
    <xf numFmtId="0" fontId="4" fillId="0" borderId="34" xfId="1" applyFont="1" applyBorder="1" applyAlignment="1">
      <alignment horizontal="center" wrapText="1"/>
    </xf>
    <xf numFmtId="0" fontId="4" fillId="0" borderId="12" xfId="1" applyFont="1" applyBorder="1" applyAlignment="1">
      <alignment horizontal="center" wrapText="1"/>
    </xf>
    <xf numFmtId="0" fontId="4" fillId="0" borderId="32" xfId="1" applyFont="1" applyFill="1" applyBorder="1" applyAlignment="1">
      <alignment horizontal="center" wrapText="1"/>
    </xf>
    <xf numFmtId="0" fontId="0" fillId="0" borderId="13" xfId="0" applyFill="1" applyBorder="1" applyAlignment="1">
      <alignment horizontal="right"/>
    </xf>
    <xf numFmtId="164" fontId="0" fillId="0" borderId="10" xfId="0" applyNumberFormat="1" applyBorder="1"/>
    <xf numFmtId="0" fontId="0" fillId="0" borderId="12" xfId="0" applyBorder="1"/>
    <xf numFmtId="0" fontId="0" fillId="0" borderId="0" xfId="0" applyAlignment="1">
      <alignment horizontal="right"/>
    </xf>
    <xf numFmtId="0" fontId="31" fillId="0" borderId="10" xfId="0" applyFont="1" applyBorder="1" applyAlignment="1">
      <alignment horizontal="left"/>
    </xf>
    <xf numFmtId="0" fontId="31" fillId="0" borderId="10" xfId="0" applyFont="1" applyBorder="1" applyAlignment="1"/>
    <xf numFmtId="0" fontId="31" fillId="0" borderId="13" xfId="0" applyFont="1" applyBorder="1" applyAlignment="1">
      <alignment horizontal="left"/>
    </xf>
    <xf numFmtId="0" fontId="31" fillId="0" borderId="29" xfId="0" applyFont="1" applyFill="1" applyBorder="1" applyAlignment="1">
      <alignment horizontal="left"/>
    </xf>
    <xf numFmtId="0" fontId="0" fillId="0" borderId="10" xfId="0" applyBorder="1" applyAlignment="1">
      <alignment horizontal="center"/>
    </xf>
    <xf numFmtId="0" fontId="30" fillId="0" borderId="13" xfId="0" applyFont="1" applyBorder="1"/>
    <xf numFmtId="0" fontId="0" fillId="0" borderId="35" xfId="0" applyBorder="1"/>
    <xf numFmtId="0" fontId="0" fillId="0" borderId="24" xfId="0" applyBorder="1"/>
    <xf numFmtId="0" fontId="1" fillId="0" borderId="13" xfId="0" applyFont="1" applyFill="1" applyBorder="1" applyAlignment="1">
      <alignment horizontal="center" vertical="center"/>
    </xf>
    <xf numFmtId="0" fontId="0" fillId="0" borderId="14" xfId="0" applyBorder="1" applyAlignment="1">
      <alignment horizontal="center"/>
    </xf>
    <xf numFmtId="0" fontId="0" fillId="0" borderId="10" xfId="0" applyBorder="1" applyAlignment="1">
      <alignment horizontal="center"/>
    </xf>
    <xf numFmtId="164" fontId="0" fillId="0" borderId="10" xfId="0" applyNumberFormat="1" applyFill="1" applyBorder="1" applyAlignment="1">
      <alignment horizontal="center"/>
    </xf>
    <xf numFmtId="0" fontId="33" fillId="0" borderId="10" xfId="0" applyFont="1" applyBorder="1"/>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1" fillId="0" borderId="10" xfId="0" applyFont="1"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left"/>
    </xf>
    <xf numFmtId="0" fontId="0" fillId="0" borderId="15" xfId="0" applyFill="1" applyBorder="1" applyAlignment="1">
      <alignment horizontal="right"/>
    </xf>
    <xf numFmtId="0" fontId="4" fillId="0" borderId="37" xfId="1" applyFont="1" applyBorder="1" applyAlignment="1">
      <alignment vertical="center"/>
    </xf>
    <xf numFmtId="0" fontId="2" fillId="0" borderId="26" xfId="1" applyFont="1" applyBorder="1"/>
    <xf numFmtId="0" fontId="2" fillId="0" borderId="26" xfId="1" applyFont="1" applyBorder="1" applyAlignment="1">
      <alignment vertical="center"/>
    </xf>
    <xf numFmtId="0" fontId="2" fillId="0" borderId="26" xfId="1" applyFont="1" applyFill="1" applyBorder="1"/>
    <xf numFmtId="0" fontId="2" fillId="0" borderId="11" xfId="1" applyFont="1" applyBorder="1" applyAlignment="1">
      <alignment vertical="center"/>
    </xf>
    <xf numFmtId="0" fontId="0" fillId="0" borderId="38" xfId="0" applyBorder="1" applyAlignment="1">
      <alignment horizontal="center"/>
    </xf>
    <xf numFmtId="0" fontId="0" fillId="0" borderId="39" xfId="0" applyBorder="1" applyAlignment="1">
      <alignment horizontal="center"/>
    </xf>
    <xf numFmtId="0" fontId="0" fillId="0" borderId="40" xfId="0" applyBorder="1" applyAlignment="1">
      <alignment horizontal="center"/>
    </xf>
    <xf numFmtId="164" fontId="0" fillId="27" borderId="36" xfId="0" applyNumberFormat="1" applyFill="1" applyBorder="1"/>
    <xf numFmtId="0" fontId="0" fillId="0" borderId="10" xfId="0" applyFill="1" applyBorder="1" applyAlignment="1">
      <alignment horizontal="right"/>
    </xf>
    <xf numFmtId="0" fontId="1" fillId="0" borderId="0" xfId="0" applyFont="1" applyBorder="1"/>
    <xf numFmtId="0" fontId="0" fillId="0" borderId="10" xfId="0" applyBorder="1" applyAlignment="1">
      <alignment horizontal="center"/>
    </xf>
    <xf numFmtId="0" fontId="0" fillId="0" borderId="10" xfId="0" applyBorder="1" applyAlignment="1">
      <alignment horizontal="center"/>
    </xf>
    <xf numFmtId="0" fontId="0" fillId="0" borderId="13" xfId="0" applyBorder="1" applyAlignment="1">
      <alignment horizontal="left"/>
    </xf>
    <xf numFmtId="0" fontId="0" fillId="0" borderId="0" xfId="0" applyFill="1" applyBorder="1" applyAlignment="1">
      <alignment horizontal="right"/>
    </xf>
    <xf numFmtId="0" fontId="0" fillId="0" borderId="0" xfId="0" applyAlignment="1">
      <alignment horizontal="left"/>
    </xf>
    <xf numFmtId="164" fontId="0" fillId="0" borderId="0" xfId="0" applyNumberFormat="1" applyBorder="1"/>
    <xf numFmtId="0" fontId="0" fillId="0" borderId="29" xfId="0" applyBorder="1"/>
    <xf numFmtId="164" fontId="25" fillId="24" borderId="12" xfId="1" applyNumberFormat="1" applyFont="1" applyFill="1" applyBorder="1" applyAlignment="1">
      <alignment horizontal="center"/>
    </xf>
    <xf numFmtId="164" fontId="2" fillId="0" borderId="41" xfId="1" applyNumberFormat="1" applyFont="1" applyBorder="1" applyAlignment="1">
      <alignment horizontal="center" vertical="center"/>
    </xf>
    <xf numFmtId="164" fontId="2" fillId="0" borderId="31" xfId="1" applyNumberFormat="1" applyFont="1" applyBorder="1" applyAlignment="1">
      <alignment horizontal="center" vertical="center"/>
    </xf>
    <xf numFmtId="164" fontId="2" fillId="0" borderId="30" xfId="1" applyNumberFormat="1" applyFont="1" applyBorder="1" applyAlignment="1">
      <alignment horizontal="center" vertical="center"/>
    </xf>
    <xf numFmtId="164" fontId="4" fillId="24" borderId="42" xfId="1" applyNumberFormat="1" applyFont="1" applyFill="1" applyBorder="1" applyAlignment="1">
      <alignment horizontal="center" vertical="center"/>
    </xf>
    <xf numFmtId="0" fontId="0" fillId="0" borderId="0" xfId="0" applyBorder="1" applyAlignment="1">
      <alignment horizontal="left"/>
    </xf>
    <xf numFmtId="0" fontId="0" fillId="0" borderId="0" xfId="0" applyAlignment="1">
      <alignment horizontal="left"/>
    </xf>
    <xf numFmtId="0" fontId="0" fillId="0" borderId="0" xfId="0" applyAlignment="1">
      <alignment horizontal="left"/>
    </xf>
    <xf numFmtId="0" fontId="0" fillId="0" borderId="10" xfId="0" applyFill="1" applyBorder="1" applyAlignment="1">
      <alignment horizontal="left"/>
    </xf>
    <xf numFmtId="0" fontId="0" fillId="0" borderId="10" xfId="0" applyFill="1" applyBorder="1"/>
    <xf numFmtId="0" fontId="1" fillId="0" borderId="13" xfId="0" applyFont="1" applyBorder="1" applyAlignment="1">
      <alignment horizontal="left"/>
    </xf>
    <xf numFmtId="164" fontId="0" fillId="0" borderId="0" xfId="0" applyNumberFormat="1" applyFill="1" applyBorder="1"/>
    <xf numFmtId="0" fontId="0" fillId="0" borderId="0" xfId="0" applyAlignment="1">
      <alignment horizontal="left"/>
    </xf>
    <xf numFmtId="164" fontId="32" fillId="0" borderId="0" xfId="0" applyNumberFormat="1" applyFont="1" applyAlignment="1">
      <alignment horizontal="center"/>
    </xf>
    <xf numFmtId="0" fontId="0" fillId="0" borderId="0" xfId="0" applyBorder="1" applyAlignment="1">
      <alignment horizontal="left"/>
    </xf>
    <xf numFmtId="0" fontId="0" fillId="0" borderId="0" xfId="0" applyAlignment="1">
      <alignment horizontal="left"/>
    </xf>
    <xf numFmtId="1" fontId="24" fillId="0" borderId="31" xfId="1" applyNumberFormat="1" applyFont="1" applyFill="1" applyBorder="1" applyAlignment="1">
      <alignment horizontal="center" vertical="center"/>
    </xf>
    <xf numFmtId="0" fontId="0" fillId="0" borderId="10" xfId="0" applyBorder="1" applyAlignment="1">
      <alignment horizontal="center"/>
    </xf>
    <xf numFmtId="0" fontId="0" fillId="0" borderId="10" xfId="0" applyBorder="1" applyAlignment="1">
      <alignment horizontal="center"/>
    </xf>
    <xf numFmtId="0" fontId="0" fillId="0" borderId="13" xfId="0" applyFill="1" applyBorder="1" applyAlignment="1">
      <alignment horizontal="center"/>
    </xf>
    <xf numFmtId="164" fontId="0" fillId="0" borderId="0" xfId="0" applyNumberFormat="1"/>
    <xf numFmtId="0" fontId="0" fillId="0" borderId="10" xfId="0" applyBorder="1" applyAlignment="1">
      <alignment horizontal="center"/>
    </xf>
    <xf numFmtId="0" fontId="0" fillId="0" borderId="10" xfId="0" applyBorder="1" applyAlignment="1">
      <alignment horizontal="center"/>
    </xf>
    <xf numFmtId="0" fontId="1" fillId="25" borderId="16" xfId="0" applyFont="1" applyFill="1" applyBorder="1" applyAlignment="1">
      <alignment horizontal="center" vertical="center" wrapText="1"/>
    </xf>
    <xf numFmtId="1" fontId="0" fillId="0" borderId="10" xfId="0" applyNumberFormat="1" applyFill="1" applyBorder="1" applyAlignment="1">
      <alignment horizontal="center"/>
    </xf>
    <xf numFmtId="0" fontId="0" fillId="0" borderId="10" xfId="0" applyBorder="1" applyAlignment="1">
      <alignment horizontal="center"/>
    </xf>
    <xf numFmtId="0" fontId="0" fillId="0" borderId="0" xfId="0" applyBorder="1" applyAlignment="1">
      <alignment horizontal="right"/>
    </xf>
    <xf numFmtId="164" fontId="0" fillId="0" borderId="0" xfId="0" applyNumberFormat="1" applyAlignment="1">
      <alignment horizontal="center"/>
    </xf>
    <xf numFmtId="164" fontId="0" fillId="27" borderId="36" xfId="0" applyNumberFormat="1" applyFill="1" applyBorder="1" applyAlignment="1">
      <alignment horizontal="center"/>
    </xf>
    <xf numFmtId="164" fontId="0" fillId="0" borderId="0" xfId="0" applyNumberFormat="1" applyBorder="1" applyAlignment="1">
      <alignment horizontal="right"/>
    </xf>
    <xf numFmtId="164" fontId="0" fillId="0" borderId="0" xfId="0" applyNumberFormat="1" applyAlignment="1">
      <alignment horizontal="right"/>
    </xf>
    <xf numFmtId="0" fontId="31" fillId="0" borderId="0" xfId="0" applyFont="1" applyAlignment="1">
      <alignment horizontal="center"/>
    </xf>
    <xf numFmtId="164" fontId="25" fillId="24" borderId="10" xfId="1" applyNumberFormat="1" applyFont="1" applyFill="1" applyBorder="1" applyAlignment="1">
      <alignment horizontal="center"/>
    </xf>
    <xf numFmtId="164" fontId="0" fillId="28" borderId="13" xfId="0" applyNumberFormat="1" applyFill="1" applyBorder="1" applyAlignment="1">
      <alignment horizontal="center"/>
    </xf>
    <xf numFmtId="0" fontId="0" fillId="0" borderId="13" xfId="0" applyFill="1" applyBorder="1" applyAlignment="1">
      <alignment horizontal="left"/>
    </xf>
    <xf numFmtId="164" fontId="0" fillId="0" borderId="10" xfId="47" applyNumberFormat="1" applyFont="1" applyFill="1" applyBorder="1" applyAlignment="1">
      <alignment horizontal="left"/>
    </xf>
    <xf numFmtId="0" fontId="0" fillId="0" borderId="25" xfId="0" applyBorder="1"/>
    <xf numFmtId="0" fontId="0" fillId="0" borderId="0" xfId="0" applyBorder="1" applyAlignment="1">
      <alignment horizontal="center"/>
    </xf>
    <xf numFmtId="164" fontId="0" fillId="0" borderId="0" xfId="47" applyNumberFormat="1" applyFont="1" applyFill="1" applyBorder="1" applyAlignment="1">
      <alignment horizontal="center"/>
    </xf>
    <xf numFmtId="164" fontId="31" fillId="0" borderId="0" xfId="0" applyNumberFormat="1" applyFont="1" applyAlignment="1">
      <alignment horizontal="center"/>
    </xf>
    <xf numFmtId="164" fontId="0" fillId="0" borderId="39" xfId="0" applyNumberFormat="1" applyBorder="1" applyAlignment="1">
      <alignment horizontal="center"/>
    </xf>
    <xf numFmtId="0" fontId="0" fillId="0" borderId="10" xfId="0" applyBorder="1" applyAlignment="1">
      <alignment horizontal="center"/>
    </xf>
    <xf numFmtId="0" fontId="35" fillId="0" borderId="10" xfId="0" applyFont="1" applyBorder="1"/>
    <xf numFmtId="0" fontId="31" fillId="0" borderId="0" xfId="0" applyFont="1" applyAlignment="1">
      <alignment horizontal="left"/>
    </xf>
    <xf numFmtId="0" fontId="31" fillId="0" borderId="10" xfId="0" applyFont="1" applyFill="1" applyBorder="1" applyAlignment="1">
      <alignment horizontal="left"/>
    </xf>
    <xf numFmtId="0" fontId="32" fillId="0" borderId="10" xfId="0" applyFont="1" applyFill="1" applyBorder="1"/>
    <xf numFmtId="0" fontId="0" fillId="0" borderId="10" xfId="0" applyFont="1" applyFill="1" applyBorder="1"/>
    <xf numFmtId="0" fontId="0" fillId="0" borderId="10" xfId="0" applyBorder="1" applyAlignment="1">
      <alignment horizontal="center"/>
    </xf>
    <xf numFmtId="0" fontId="31" fillId="0" borderId="10" xfId="0" applyFont="1" applyFill="1" applyBorder="1"/>
    <xf numFmtId="0" fontId="0" fillId="0" borderId="10" xfId="0" applyBorder="1" applyAlignment="1">
      <alignment horizontal="center"/>
    </xf>
    <xf numFmtId="0" fontId="0" fillId="0" borderId="29" xfId="0" applyFill="1"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2" fontId="0" fillId="0" borderId="0" xfId="0" applyNumberFormat="1"/>
    <xf numFmtId="0" fontId="35" fillId="0" borderId="0" xfId="0" applyFont="1" applyBorder="1"/>
    <xf numFmtId="0" fontId="0" fillId="0" borderId="0" xfId="0" applyFill="1" applyBorder="1" applyAlignment="1">
      <alignment horizontal="left"/>
    </xf>
    <xf numFmtId="0" fontId="0" fillId="0" borderId="14" xfId="0" applyBorder="1" applyAlignment="1">
      <alignment horizontal="right"/>
    </xf>
    <xf numFmtId="0" fontId="1" fillId="0" borderId="14" xfId="0" applyFont="1" applyBorder="1" applyAlignment="1">
      <alignment horizontal="left"/>
    </xf>
    <xf numFmtId="164" fontId="0" fillId="0" borderId="0" xfId="0" applyNumberFormat="1" applyFill="1" applyBorder="1" applyAlignment="1">
      <alignment horizontal="center"/>
    </xf>
    <xf numFmtId="164" fontId="0" fillId="29" borderId="10" xfId="47" applyNumberFormat="1" applyFont="1" applyFill="1" applyBorder="1" applyAlignment="1">
      <alignment horizontal="center"/>
    </xf>
    <xf numFmtId="164" fontId="0" fillId="0" borderId="0" xfId="0" applyNumberFormat="1" applyAlignment="1">
      <alignment horizontal="left"/>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2" fontId="36" fillId="0" borderId="10" xfId="0" applyNumberFormat="1" applyFont="1" applyBorder="1" applyAlignment="1">
      <alignment horizontal="right"/>
    </xf>
    <xf numFmtId="0" fontId="38" fillId="0" borderId="10" xfId="0" applyFont="1" applyBorder="1" applyAlignment="1">
      <alignment horizontal="left" vertical="center"/>
    </xf>
    <xf numFmtId="0" fontId="0" fillId="0" borderId="10" xfId="0" applyFont="1" applyBorder="1" applyAlignment="1">
      <alignment horizontal="right"/>
    </xf>
    <xf numFmtId="0" fontId="36" fillId="0" borderId="10" xfId="0" applyFont="1" applyBorder="1"/>
    <xf numFmtId="0" fontId="0" fillId="0" borderId="10" xfId="0" applyBorder="1" applyAlignment="1">
      <alignment horizontal="right" vertical="center"/>
    </xf>
    <xf numFmtId="0" fontId="12" fillId="0" borderId="10" xfId="0" applyFont="1" applyBorder="1" applyAlignment="1">
      <alignment horizontal="right" vertical="center"/>
    </xf>
    <xf numFmtId="0" fontId="0" fillId="0" borderId="10" xfId="0" applyFill="1" applyBorder="1" applyAlignment="1">
      <alignment horizontal="right" vertical="center"/>
    </xf>
    <xf numFmtId="2" fontId="36" fillId="0" borderId="10" xfId="0" applyNumberFormat="1" applyFont="1" applyBorder="1"/>
    <xf numFmtId="0" fontId="12" fillId="0" borderId="12" xfId="0" applyFont="1" applyBorder="1" applyAlignment="1">
      <alignment horizontal="left" vertical="center"/>
    </xf>
    <xf numFmtId="0" fontId="0" fillId="0" borderId="12" xfId="0" applyBorder="1" applyAlignment="1">
      <alignment vertical="center"/>
    </xf>
    <xf numFmtId="0" fontId="27" fillId="0" borderId="12" xfId="0" applyFont="1" applyFill="1" applyBorder="1" applyAlignment="1">
      <alignment horizontal="right"/>
    </xf>
    <xf numFmtId="49" fontId="1" fillId="25" borderId="16" xfId="0" applyNumberFormat="1" applyFont="1" applyFill="1" applyBorder="1" applyAlignment="1">
      <alignment horizontal="center" vertical="center" wrapText="1"/>
    </xf>
    <xf numFmtId="164" fontId="0" fillId="0" borderId="0" xfId="47" applyNumberFormat="1" applyFont="1" applyFill="1" applyAlignment="1">
      <alignment horizontal="center"/>
    </xf>
    <xf numFmtId="164" fontId="0" fillId="0" borderId="13" xfId="0" applyNumberFormat="1" applyFill="1" applyBorder="1" applyAlignment="1">
      <alignment horizontal="center"/>
    </xf>
    <xf numFmtId="164" fontId="0" fillId="0" borderId="0" xfId="0" applyNumberFormat="1" applyBorder="1" applyAlignment="1">
      <alignment horizontal="center"/>
    </xf>
    <xf numFmtId="0" fontId="27" fillId="0" borderId="0" xfId="0" applyFont="1" applyAlignment="1">
      <alignment horizontal="right"/>
    </xf>
    <xf numFmtId="0" fontId="0" fillId="0" borderId="13" xfId="0" applyFill="1" applyBorder="1"/>
    <xf numFmtId="164" fontId="0" fillId="30" borderId="10" xfId="0" applyNumberFormat="1" applyFill="1" applyBorder="1" applyAlignment="1">
      <alignment horizontal="center"/>
    </xf>
    <xf numFmtId="1" fontId="0" fillId="30" borderId="10" xfId="0" applyNumberFormat="1" applyFill="1" applyBorder="1" applyAlignment="1">
      <alignment horizontal="center"/>
    </xf>
    <xf numFmtId="0" fontId="0" fillId="0" borderId="0" xfId="0" applyFont="1" applyFill="1" applyBorder="1" applyAlignment="1">
      <alignment horizontal="right"/>
    </xf>
    <xf numFmtId="0" fontId="0" fillId="0" borderId="0" xfId="0" applyFill="1" applyBorder="1"/>
    <xf numFmtId="0" fontId="0" fillId="0" borderId="43" xfId="0" applyFont="1" applyFill="1" applyBorder="1" applyAlignment="1">
      <alignment horizontal="right"/>
    </xf>
    <xf numFmtId="0" fontId="1" fillId="0" borderId="44" xfId="0" applyFont="1" applyBorder="1"/>
    <xf numFmtId="0" fontId="0" fillId="0" borderId="14" xfId="0" applyFill="1" applyBorder="1"/>
    <xf numFmtId="0" fontId="27" fillId="0" borderId="11" xfId="0" applyFont="1" applyFill="1" applyBorder="1" applyAlignment="1">
      <alignment horizontal="right"/>
    </xf>
    <xf numFmtId="0" fontId="37" fillId="0" borderId="64" xfId="0" applyFont="1" applyBorder="1" applyAlignment="1">
      <alignment horizontal="center" vertical="center"/>
    </xf>
    <xf numFmtId="0" fontId="0" fillId="0" borderId="64" xfId="0" applyBorder="1"/>
    <xf numFmtId="0" fontId="0" fillId="0" borderId="30" xfId="0" applyBorder="1"/>
    <xf numFmtId="0" fontId="0" fillId="0" borderId="32" xfId="0" applyFill="1" applyBorder="1"/>
    <xf numFmtId="0" fontId="0" fillId="0" borderId="32" xfId="0" applyBorder="1"/>
    <xf numFmtId="0" fontId="1" fillId="31" borderId="0" xfId="0" applyFont="1" applyFill="1" applyBorder="1" applyAlignment="1">
      <alignment horizontal="center"/>
    </xf>
    <xf numFmtId="164" fontId="1" fillId="31" borderId="0" xfId="0" applyNumberFormat="1" applyFont="1" applyFill="1" applyBorder="1" applyAlignment="1">
      <alignment horizontal="center"/>
    </xf>
    <xf numFmtId="0" fontId="23" fillId="24" borderId="10" xfId="1" applyFont="1" applyFill="1" applyBorder="1" applyAlignment="1">
      <alignment horizontal="right"/>
    </xf>
    <xf numFmtId="0" fontId="0" fillId="0" borderId="12" xfId="0" applyBorder="1" applyAlignment="1">
      <alignment horizontal="right"/>
    </xf>
    <xf numFmtId="0" fontId="31" fillId="0" borderId="0" xfId="0" applyFont="1" applyFill="1" applyBorder="1" applyAlignment="1">
      <alignment horizontal="center"/>
    </xf>
    <xf numFmtId="164" fontId="0" fillId="0" borderId="0" xfId="0" applyNumberFormat="1" applyBorder="1" applyAlignment="1">
      <alignment horizontal="left"/>
    </xf>
    <xf numFmtId="165" fontId="0" fillId="0" borderId="51" xfId="0" applyNumberFormat="1" applyBorder="1"/>
    <xf numFmtId="165" fontId="0" fillId="0" borderId="10" xfId="0" applyNumberFormat="1" applyBorder="1"/>
    <xf numFmtId="0" fontId="0" fillId="0" borderId="10" xfId="0" applyBorder="1" applyAlignment="1">
      <alignment horizontal="center"/>
    </xf>
    <xf numFmtId="0" fontId="0" fillId="0" borderId="10" xfId="0" applyBorder="1" applyAlignment="1">
      <alignment horizontal="center"/>
    </xf>
    <xf numFmtId="0" fontId="0" fillId="0" borderId="10" xfId="0" applyBorder="1" applyAlignment="1">
      <alignment horizontal="center"/>
    </xf>
    <xf numFmtId="164" fontId="1" fillId="31" borderId="12" xfId="0" applyNumberFormat="1" applyFont="1" applyFill="1" applyBorder="1" applyAlignment="1">
      <alignment horizontal="center"/>
    </xf>
    <xf numFmtId="164" fontId="1" fillId="31" borderId="42" xfId="0" applyNumberFormat="1" applyFont="1" applyFill="1" applyBorder="1" applyAlignment="1">
      <alignment horizontal="center"/>
    </xf>
    <xf numFmtId="0" fontId="0" fillId="0" borderId="31" xfId="0" applyBorder="1"/>
    <xf numFmtId="0" fontId="0" fillId="0" borderId="31" xfId="0" applyBorder="1" applyAlignment="1">
      <alignment wrapText="1"/>
    </xf>
    <xf numFmtId="0" fontId="0" fillId="0" borderId="10" xfId="0" applyBorder="1" applyAlignment="1">
      <alignment horizontal="center"/>
    </xf>
    <xf numFmtId="0" fontId="0" fillId="27" borderId="27" xfId="0" applyFill="1" applyBorder="1"/>
    <xf numFmtId="0" fontId="0" fillId="0" borderId="66" xfId="0" applyBorder="1"/>
    <xf numFmtId="0" fontId="0" fillId="0" borderId="67" xfId="0" applyBorder="1"/>
    <xf numFmtId="0" fontId="0" fillId="0" borderId="68" xfId="0" applyBorder="1"/>
    <xf numFmtId="0" fontId="0" fillId="0" borderId="69" xfId="0" applyBorder="1"/>
    <xf numFmtId="165" fontId="0" fillId="0" borderId="0" xfId="0" applyNumberFormat="1"/>
    <xf numFmtId="165" fontId="0" fillId="0" borderId="29" xfId="0" applyNumberFormat="1" applyBorder="1"/>
    <xf numFmtId="0" fontId="31" fillId="0" borderId="0" xfId="0" applyFont="1"/>
    <xf numFmtId="165" fontId="31" fillId="0" borderId="0" xfId="0" applyNumberFormat="1" applyFont="1"/>
    <xf numFmtId="0" fontId="25" fillId="0" borderId="65" xfId="1" applyFont="1" applyFill="1" applyBorder="1" applyAlignment="1">
      <alignment horizontal="center" wrapText="1"/>
    </xf>
    <xf numFmtId="0" fontId="0" fillId="0" borderId="10" xfId="0" applyBorder="1" applyAlignment="1">
      <alignment horizontal="center"/>
    </xf>
    <xf numFmtId="0" fontId="33" fillId="0" borderId="10" xfId="0" applyFont="1" applyBorder="1" applyAlignment="1">
      <alignment horizontal="left"/>
    </xf>
    <xf numFmtId="0" fontId="32" fillId="0" borderId="10" xfId="0" applyFont="1" applyBorder="1" applyAlignment="1">
      <alignment horizontal="left"/>
    </xf>
    <xf numFmtId="164" fontId="32" fillId="0" borderId="10" xfId="47" applyNumberFormat="1" applyFont="1" applyBorder="1" applyAlignment="1">
      <alignment horizontal="center"/>
    </xf>
    <xf numFmtId="0" fontId="32" fillId="0" borderId="10" xfId="0" applyFont="1" applyBorder="1" applyAlignment="1">
      <alignment horizontal="right"/>
    </xf>
    <xf numFmtId="0" fontId="0" fillId="0" borderId="10" xfId="0" applyBorder="1" applyAlignment="1">
      <alignment horizontal="center"/>
    </xf>
    <xf numFmtId="0" fontId="32" fillId="0" borderId="10" xfId="0" applyFont="1" applyFill="1" applyBorder="1" applyAlignment="1">
      <alignment horizontal="right"/>
    </xf>
    <xf numFmtId="0" fontId="0" fillId="0" borderId="10" xfId="0" applyBorder="1" applyAlignment="1">
      <alignment horizontal="center"/>
    </xf>
    <xf numFmtId="0" fontId="0" fillId="32" borderId="10" xfId="0" applyFill="1" applyBorder="1"/>
    <xf numFmtId="164" fontId="25" fillId="24" borderId="51" xfId="1" applyNumberFormat="1" applyFont="1" applyFill="1" applyBorder="1" applyAlignment="1">
      <alignment horizontal="center"/>
    </xf>
    <xf numFmtId="165" fontId="0" fillId="0" borderId="10" xfId="0" applyNumberFormat="1" applyBorder="1" applyAlignment="1">
      <alignment horizontal="right"/>
    </xf>
    <xf numFmtId="1" fontId="0" fillId="0" borderId="10" xfId="0" applyNumberFormat="1" applyBorder="1" applyAlignment="1">
      <alignment horizontal="center"/>
    </xf>
    <xf numFmtId="0" fontId="0" fillId="0" borderId="0" xfId="0" applyFont="1"/>
    <xf numFmtId="0" fontId="0" fillId="0" borderId="0" xfId="0" applyFont="1" applyAlignment="1">
      <alignment horizontal="center" vertical="center"/>
    </xf>
    <xf numFmtId="0" fontId="0" fillId="0" borderId="0" xfId="0" applyFont="1" applyFill="1"/>
    <xf numFmtId="0" fontId="39" fillId="0" borderId="0" xfId="0" applyFont="1" applyAlignment="1">
      <alignment horizontal="left" vertical="center"/>
    </xf>
    <xf numFmtId="0" fontId="32" fillId="0" borderId="0" xfId="0" applyFont="1" applyAlignment="1">
      <alignment horizontal="center" vertical="center"/>
    </xf>
    <xf numFmtId="164" fontId="32" fillId="0" borderId="0" xfId="0" applyNumberFormat="1" applyFont="1" applyAlignment="1">
      <alignment horizontal="center" vertical="center"/>
    </xf>
    <xf numFmtId="0" fontId="33" fillId="25" borderId="70" xfId="0" applyFont="1" applyFill="1" applyBorder="1" applyAlignment="1">
      <alignment horizontal="center" vertical="center"/>
    </xf>
    <xf numFmtId="0" fontId="33" fillId="25" borderId="71" xfId="0" applyFont="1" applyFill="1" applyBorder="1" applyAlignment="1">
      <alignment horizontal="center" vertical="center"/>
    </xf>
    <xf numFmtId="0" fontId="33" fillId="25" borderId="72" xfId="0" applyFont="1" applyFill="1" applyBorder="1" applyAlignment="1">
      <alignment horizontal="center" vertical="center"/>
    </xf>
    <xf numFmtId="0" fontId="33" fillId="25" borderId="72" xfId="0" applyFont="1" applyFill="1" applyBorder="1" applyAlignment="1">
      <alignment horizontal="center" vertical="center" wrapText="1"/>
    </xf>
    <xf numFmtId="164" fontId="32" fillId="25" borderId="72" xfId="0" applyNumberFormat="1" applyFont="1" applyFill="1" applyBorder="1" applyAlignment="1">
      <alignment horizontal="center" vertical="center"/>
    </xf>
    <xf numFmtId="164" fontId="32" fillId="25" borderId="73" xfId="0" applyNumberFormat="1" applyFont="1" applyFill="1" applyBorder="1" applyAlignment="1">
      <alignment horizontal="center" vertical="center"/>
    </xf>
    <xf numFmtId="164" fontId="32" fillId="25" borderId="71" xfId="0" applyNumberFormat="1" applyFont="1" applyFill="1" applyBorder="1" applyAlignment="1">
      <alignment horizontal="center" vertical="center" wrapText="1"/>
    </xf>
    <xf numFmtId="164" fontId="32" fillId="25" borderId="74" xfId="0" applyNumberFormat="1" applyFont="1" applyFill="1" applyBorder="1" applyAlignment="1">
      <alignment horizontal="center" vertical="center" wrapText="1"/>
    </xf>
    <xf numFmtId="0" fontId="33" fillId="33" borderId="75" xfId="0" applyFont="1" applyFill="1" applyBorder="1" applyAlignment="1">
      <alignment horizontal="center" vertical="center"/>
    </xf>
    <xf numFmtId="0" fontId="32" fillId="33" borderId="76" xfId="0" applyFont="1" applyFill="1" applyBorder="1" applyAlignment="1">
      <alignment horizontal="center" vertical="center"/>
    </xf>
    <xf numFmtId="0" fontId="32" fillId="33" borderId="77" xfId="0" applyFont="1" applyFill="1" applyBorder="1" applyAlignment="1">
      <alignment horizontal="center" vertical="center"/>
    </xf>
    <xf numFmtId="164" fontId="32" fillId="33" borderId="77" xfId="0" applyNumberFormat="1" applyFont="1" applyFill="1" applyBorder="1" applyAlignment="1">
      <alignment horizontal="center" vertical="center"/>
    </xf>
    <xf numFmtId="164" fontId="32" fillId="33" borderId="78" xfId="0" applyNumberFormat="1" applyFont="1" applyFill="1" applyBorder="1" applyAlignment="1">
      <alignment horizontal="center" vertical="center"/>
    </xf>
    <xf numFmtId="164" fontId="32" fillId="33" borderId="79" xfId="0" applyNumberFormat="1" applyFont="1" applyFill="1" applyBorder="1" applyAlignment="1">
      <alignment horizontal="center" vertical="center"/>
    </xf>
    <xf numFmtId="164" fontId="32" fillId="33" borderId="80" xfId="0" applyNumberFormat="1" applyFont="1" applyFill="1" applyBorder="1" applyAlignment="1">
      <alignment horizontal="center" vertical="center"/>
    </xf>
    <xf numFmtId="0" fontId="31" fillId="0" borderId="0" xfId="0" applyFont="1" applyAlignment="1">
      <alignment horizontal="center" vertical="center"/>
    </xf>
    <xf numFmtId="0" fontId="33" fillId="0" borderId="81" xfId="0" applyFont="1" applyBorder="1" applyAlignment="1">
      <alignment horizontal="center" vertical="center"/>
    </xf>
    <xf numFmtId="0" fontId="32" fillId="0" borderId="82" xfId="0" applyFont="1" applyBorder="1" applyAlignment="1">
      <alignment horizontal="center" vertical="center"/>
    </xf>
    <xf numFmtId="0" fontId="32" fillId="0" borderId="83" xfId="0" applyFont="1" applyBorder="1" applyAlignment="1">
      <alignment horizontal="center" vertical="center"/>
    </xf>
    <xf numFmtId="0" fontId="32" fillId="0" borderId="84" xfId="0" applyFont="1" applyBorder="1" applyAlignment="1">
      <alignment horizontal="center" vertical="center"/>
    </xf>
    <xf numFmtId="164" fontId="32" fillId="0" borderId="84" xfId="0" applyNumberFormat="1" applyFont="1" applyBorder="1" applyAlignment="1">
      <alignment horizontal="center" vertical="center"/>
    </xf>
    <xf numFmtId="164" fontId="32" fillId="0" borderId="85" xfId="0" applyNumberFormat="1" applyFont="1" applyBorder="1" applyAlignment="1">
      <alignment horizontal="center" vertical="center"/>
    </xf>
    <xf numFmtId="164" fontId="32" fillId="0" borderId="86" xfId="0" applyNumberFormat="1" applyFont="1" applyBorder="1" applyAlignment="1">
      <alignment horizontal="center" vertical="center"/>
    </xf>
    <xf numFmtId="1" fontId="32" fillId="0" borderId="87" xfId="0" applyNumberFormat="1" applyFont="1" applyBorder="1" applyAlignment="1">
      <alignment horizontal="center" vertical="center"/>
    </xf>
    <xf numFmtId="14" fontId="31" fillId="0" borderId="0" xfId="0" applyNumberFormat="1" applyFont="1" applyBorder="1" applyAlignment="1">
      <alignment horizontal="center" vertical="center"/>
    </xf>
    <xf numFmtId="0" fontId="40" fillId="0" borderId="0" xfId="0" applyFont="1" applyAlignment="1">
      <alignment horizontal="center" vertical="center"/>
    </xf>
    <xf numFmtId="0" fontId="33" fillId="0" borderId="88" xfId="0" applyFont="1" applyBorder="1" applyAlignment="1">
      <alignment horizontal="center" vertical="center"/>
    </xf>
    <xf numFmtId="0" fontId="32" fillId="0" borderId="31" xfId="0" applyFont="1" applyBorder="1" applyAlignment="1">
      <alignment horizontal="center" vertical="center"/>
    </xf>
    <xf numFmtId="0" fontId="32" fillId="0" borderId="89" xfId="0" applyFont="1" applyBorder="1" applyAlignment="1">
      <alignment horizontal="center" vertical="center"/>
    </xf>
    <xf numFmtId="0" fontId="32" fillId="0" borderId="90" xfId="0" applyFont="1" applyBorder="1" applyAlignment="1">
      <alignment horizontal="center" vertical="center"/>
    </xf>
    <xf numFmtId="164" fontId="32" fillId="0" borderId="90" xfId="0" applyNumberFormat="1" applyFont="1" applyBorder="1" applyAlignment="1">
      <alignment horizontal="center" vertical="center"/>
    </xf>
    <xf numFmtId="164" fontId="32" fillId="0" borderId="91" xfId="0" applyNumberFormat="1" applyFont="1" applyBorder="1" applyAlignment="1">
      <alignment horizontal="center" vertical="center"/>
    </xf>
    <xf numFmtId="0" fontId="33" fillId="0" borderId="92" xfId="0" applyFont="1" applyBorder="1" applyAlignment="1">
      <alignment horizontal="center" vertical="center"/>
    </xf>
    <xf numFmtId="0" fontId="32" fillId="0" borderId="30" xfId="0" applyFont="1" applyBorder="1" applyAlignment="1">
      <alignment horizontal="center" vertical="center"/>
    </xf>
    <xf numFmtId="164" fontId="32" fillId="0" borderId="93" xfId="0" applyNumberFormat="1" applyFont="1" applyBorder="1" applyAlignment="1">
      <alignment horizontal="center" vertical="center"/>
    </xf>
    <xf numFmtId="0" fontId="33" fillId="0" borderId="94" xfId="0" applyFont="1" applyBorder="1" applyAlignment="1">
      <alignment horizontal="center" vertical="center"/>
    </xf>
    <xf numFmtId="0" fontId="32" fillId="0" borderId="32" xfId="0" applyFont="1" applyBorder="1" applyAlignment="1">
      <alignment horizontal="center" vertical="center"/>
    </xf>
    <xf numFmtId="0" fontId="32" fillId="0" borderId="95" xfId="0" applyFont="1" applyBorder="1" applyAlignment="1">
      <alignment horizontal="center" vertical="center"/>
    </xf>
    <xf numFmtId="0" fontId="32" fillId="0" borderId="96" xfId="0" applyFont="1" applyBorder="1" applyAlignment="1">
      <alignment horizontal="center" vertical="center"/>
    </xf>
    <xf numFmtId="164" fontId="32" fillId="0" borderId="96" xfId="0" applyNumberFormat="1" applyFont="1" applyBorder="1" applyAlignment="1">
      <alignment horizontal="center" vertical="center"/>
    </xf>
    <xf numFmtId="164" fontId="32" fillId="0" borderId="97" xfId="0" applyNumberFormat="1" applyFont="1" applyBorder="1" applyAlignment="1">
      <alignment horizontal="center" vertical="center"/>
    </xf>
    <xf numFmtId="164" fontId="32" fillId="0" borderId="98" xfId="0" applyNumberFormat="1" applyFont="1" applyBorder="1" applyAlignment="1">
      <alignment horizontal="center" vertical="center"/>
    </xf>
    <xf numFmtId="164" fontId="31" fillId="0" borderId="0" xfId="0" applyNumberFormat="1" applyFont="1" applyAlignment="1">
      <alignment horizontal="center" vertical="center"/>
    </xf>
    <xf numFmtId="0" fontId="31" fillId="0" borderId="0" xfId="0" applyFont="1" applyBorder="1" applyAlignment="1">
      <alignment horizontal="center" vertical="center"/>
    </xf>
    <xf numFmtId="164" fontId="32" fillId="0" borderId="90" xfId="0" applyNumberFormat="1" applyFont="1" applyFill="1" applyBorder="1" applyAlignment="1">
      <alignment horizontal="center" vertical="center"/>
    </xf>
    <xf numFmtId="164" fontId="32" fillId="0" borderId="91" xfId="0" applyNumberFormat="1" applyFont="1" applyFill="1" applyBorder="1" applyAlignment="1">
      <alignment horizontal="center" vertical="center"/>
    </xf>
    <xf numFmtId="164" fontId="32" fillId="0" borderId="86" xfId="0" applyNumberFormat="1" applyFont="1" applyFill="1" applyBorder="1" applyAlignment="1">
      <alignment horizontal="center" vertical="center"/>
    </xf>
    <xf numFmtId="0" fontId="41" fillId="0" borderId="0" xfId="0" applyFont="1" applyAlignment="1">
      <alignment horizontal="center" vertical="center"/>
    </xf>
    <xf numFmtId="0" fontId="32" fillId="0" borderId="99" xfId="0" applyFont="1" applyBorder="1" applyAlignment="1">
      <alignment horizontal="center" vertical="center"/>
    </xf>
    <xf numFmtId="164" fontId="32" fillId="0" borderId="29" xfId="0" applyNumberFormat="1" applyFont="1" applyBorder="1" applyAlignment="1">
      <alignment horizontal="center" vertical="center"/>
    </xf>
    <xf numFmtId="164" fontId="32" fillId="0" borderId="87" xfId="0" applyNumberFormat="1" applyFont="1" applyBorder="1" applyAlignment="1">
      <alignment horizontal="center" vertical="center"/>
    </xf>
    <xf numFmtId="0" fontId="32" fillId="0" borderId="0" xfId="0" applyFont="1" applyBorder="1" applyAlignment="1">
      <alignment horizontal="center" vertical="center"/>
    </xf>
    <xf numFmtId="0" fontId="32" fillId="0" borderId="29" xfId="0" applyFont="1" applyBorder="1" applyAlignment="1">
      <alignment horizontal="center" vertical="center"/>
    </xf>
    <xf numFmtId="0" fontId="32" fillId="0" borderId="13" xfId="0" applyFont="1" applyBorder="1" applyAlignment="1">
      <alignment horizontal="center" vertical="center"/>
    </xf>
    <xf numFmtId="164" fontId="32" fillId="0" borderId="13" xfId="0" applyNumberFormat="1" applyFont="1" applyBorder="1" applyAlignment="1">
      <alignment horizontal="center" vertical="center"/>
    </xf>
    <xf numFmtId="164" fontId="32" fillId="0" borderId="100" xfId="0" applyNumberFormat="1" applyFont="1" applyBorder="1" applyAlignment="1">
      <alignment horizontal="center" vertical="center"/>
    </xf>
    <xf numFmtId="164" fontId="32" fillId="0" borderId="101" xfId="0" applyNumberFormat="1" applyFont="1" applyBorder="1" applyAlignment="1">
      <alignment horizontal="center" vertical="center"/>
    </xf>
    <xf numFmtId="0" fontId="32" fillId="0" borderId="44" xfId="0" applyFont="1" applyBorder="1" applyAlignment="1">
      <alignment horizontal="center" vertical="center"/>
    </xf>
    <xf numFmtId="0" fontId="32" fillId="0" borderId="14" xfId="0" applyFont="1" applyBorder="1" applyAlignment="1">
      <alignment horizontal="center" vertical="center"/>
    </xf>
    <xf numFmtId="0" fontId="33" fillId="0" borderId="88"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29" xfId="0" applyFont="1" applyFill="1" applyBorder="1" applyAlignment="1">
      <alignment horizontal="center" vertical="center"/>
    </xf>
    <xf numFmtId="0" fontId="32" fillId="0" borderId="31" xfId="0" applyFont="1" applyFill="1" applyBorder="1" applyAlignment="1">
      <alignment horizontal="center" vertical="center"/>
    </xf>
    <xf numFmtId="164" fontId="32" fillId="0" borderId="29" xfId="0" applyNumberFormat="1" applyFont="1" applyFill="1" applyBorder="1" applyAlignment="1">
      <alignment horizontal="center" vertical="center"/>
    </xf>
    <xf numFmtId="164" fontId="32" fillId="0" borderId="87" xfId="0" applyNumberFormat="1" applyFont="1" applyFill="1" applyBorder="1" applyAlignment="1">
      <alignment horizontal="center" vertical="center"/>
    </xf>
    <xf numFmtId="0" fontId="32" fillId="0" borderId="64" xfId="0" applyFont="1" applyBorder="1" applyAlignment="1">
      <alignment horizontal="center" vertical="center"/>
    </xf>
    <xf numFmtId="0" fontId="32" fillId="0" borderId="102" xfId="0" applyFont="1" applyBorder="1" applyAlignment="1">
      <alignment horizontal="center" vertical="center"/>
    </xf>
    <xf numFmtId="0" fontId="33" fillId="0" borderId="49" xfId="0" applyFont="1" applyBorder="1" applyAlignment="1">
      <alignment horizontal="center" vertical="center"/>
    </xf>
    <xf numFmtId="0" fontId="32" fillId="0" borderId="48" xfId="0" applyFont="1" applyBorder="1" applyAlignment="1">
      <alignment horizontal="center" vertical="center"/>
    </xf>
    <xf numFmtId="0" fontId="32" fillId="0" borderId="103" xfId="0" applyFont="1" applyBorder="1" applyAlignment="1">
      <alignment horizontal="center" vertical="center"/>
    </xf>
    <xf numFmtId="0" fontId="32" fillId="0" borderId="104" xfId="0" applyFont="1" applyBorder="1" applyAlignment="1">
      <alignment horizontal="center" vertical="center"/>
    </xf>
    <xf numFmtId="164" fontId="32" fillId="0" borderId="104" xfId="0" applyNumberFormat="1" applyFont="1" applyBorder="1" applyAlignment="1">
      <alignment horizontal="center" vertical="center"/>
    </xf>
    <xf numFmtId="164" fontId="32" fillId="0" borderId="105" xfId="0" applyNumberFormat="1" applyFont="1" applyBorder="1" applyAlignment="1">
      <alignment horizontal="center" vertical="center"/>
    </xf>
    <xf numFmtId="164" fontId="32" fillId="0" borderId="106" xfId="0" applyNumberFormat="1" applyFont="1" applyBorder="1" applyAlignment="1">
      <alignment horizontal="center" vertical="center"/>
    </xf>
    <xf numFmtId="1" fontId="32" fillId="0" borderId="107" xfId="0" applyNumberFormat="1" applyFont="1" applyBorder="1" applyAlignment="1">
      <alignment horizontal="center" vertical="center"/>
    </xf>
    <xf numFmtId="0" fontId="33" fillId="0" borderId="0" xfId="0" applyFont="1" applyBorder="1" applyAlignment="1">
      <alignment horizontal="center" vertical="center"/>
    </xf>
    <xf numFmtId="164" fontId="32" fillId="0" borderId="0" xfId="0" applyNumberFormat="1" applyFont="1" applyBorder="1" applyAlignment="1">
      <alignment horizontal="center" vertical="center"/>
    </xf>
    <xf numFmtId="164" fontId="33" fillId="28" borderId="27" xfId="0" applyNumberFormat="1" applyFont="1" applyFill="1" applyBorder="1" applyAlignment="1">
      <alignment horizontal="center" vertical="center"/>
    </xf>
    <xf numFmtId="164" fontId="33" fillId="0" borderId="0" xfId="0" applyNumberFormat="1" applyFont="1" applyBorder="1" applyAlignment="1">
      <alignment horizontal="center" vertical="center"/>
    </xf>
    <xf numFmtId="0" fontId="33" fillId="0" borderId="0" xfId="0" applyFont="1" applyAlignment="1">
      <alignment horizontal="center" vertical="center"/>
    </xf>
    <xf numFmtId="0" fontId="32" fillId="0" borderId="0" xfId="0" applyFont="1" applyFill="1" applyAlignment="1">
      <alignment horizontal="center" vertical="center"/>
    </xf>
    <xf numFmtId="164" fontId="32" fillId="0" borderId="0" xfId="0" applyNumberFormat="1" applyFont="1" applyFill="1" applyAlignment="1">
      <alignment horizontal="center" vertical="center"/>
    </xf>
    <xf numFmtId="1" fontId="32" fillId="0" borderId="0" xfId="0" applyNumberFormat="1" applyFont="1" applyFill="1" applyAlignment="1">
      <alignment horizontal="center" vertical="center"/>
    </xf>
    <xf numFmtId="0" fontId="31" fillId="0" borderId="0" xfId="0" applyFont="1" applyFill="1" applyAlignment="1">
      <alignment horizontal="center" vertical="center"/>
    </xf>
    <xf numFmtId="164" fontId="31" fillId="0" borderId="0" xfId="0" applyNumberFormat="1" applyFont="1" applyFill="1" applyAlignment="1">
      <alignment horizontal="center" vertical="center"/>
    </xf>
    <xf numFmtId="1" fontId="31" fillId="0" borderId="0" xfId="0" applyNumberFormat="1" applyFont="1" applyFill="1" applyAlignment="1">
      <alignment horizontal="center" vertical="center"/>
    </xf>
    <xf numFmtId="0" fontId="31" fillId="0" borderId="0" xfId="0" applyFont="1" applyFill="1"/>
    <xf numFmtId="164" fontId="33" fillId="0" borderId="0" xfId="0" applyNumberFormat="1" applyFont="1" applyAlignment="1">
      <alignment horizontal="center" vertical="center"/>
    </xf>
    <xf numFmtId="0" fontId="33" fillId="27" borderId="57" xfId="0" applyFont="1" applyFill="1" applyBorder="1" applyAlignment="1">
      <alignment horizontal="center" vertical="center"/>
    </xf>
    <xf numFmtId="0" fontId="33" fillId="27" borderId="58" xfId="0" applyFont="1" applyFill="1" applyBorder="1" applyAlignment="1">
      <alignment horizontal="center" vertical="center"/>
    </xf>
    <xf numFmtId="0" fontId="33" fillId="27" borderId="36" xfId="0" applyFont="1" applyFill="1" applyBorder="1" applyAlignment="1">
      <alignment horizontal="center" vertical="center"/>
    </xf>
    <xf numFmtId="0" fontId="26" fillId="27" borderId="15" xfId="0" applyFont="1" applyFill="1" applyBorder="1" applyAlignment="1">
      <alignment horizontal="center" vertical="center"/>
    </xf>
    <xf numFmtId="0" fontId="26" fillId="27" borderId="16" xfId="0" applyFont="1" applyFill="1" applyBorder="1" applyAlignment="1">
      <alignment horizontal="center" vertical="center"/>
    </xf>
    <xf numFmtId="0" fontId="26" fillId="27" borderId="17" xfId="0" applyFont="1" applyFill="1" applyBorder="1" applyAlignment="1">
      <alignment horizontal="center" vertical="center"/>
    </xf>
    <xf numFmtId="0" fontId="0" fillId="0" borderId="20" xfId="0" applyBorder="1" applyAlignment="1">
      <alignment horizontal="center"/>
    </xf>
    <xf numFmtId="0" fontId="0" fillId="0" borderId="10" xfId="0" applyBorder="1" applyAlignment="1">
      <alignment horizontal="center"/>
    </xf>
    <xf numFmtId="0" fontId="0" fillId="0" borderId="21" xfId="0" applyBorder="1" applyAlignment="1">
      <alignment horizontal="center"/>
    </xf>
    <xf numFmtId="0" fontId="0" fillId="0" borderId="13" xfId="0" applyBorder="1" applyAlignment="1">
      <alignment horizontal="left"/>
    </xf>
    <xf numFmtId="0" fontId="0" fillId="0" borderId="19" xfId="0" applyBorder="1" applyAlignment="1">
      <alignment horizontal="left"/>
    </xf>
    <xf numFmtId="0" fontId="0" fillId="0" borderId="18" xfId="0" applyBorder="1" applyAlignment="1">
      <alignment horizontal="left"/>
    </xf>
    <xf numFmtId="0" fontId="0" fillId="0" borderId="22" xfId="0" applyBorder="1" applyAlignment="1">
      <alignment horizontal="left"/>
    </xf>
    <xf numFmtId="0" fontId="0" fillId="0" borderId="14" xfId="0" applyBorder="1" applyAlignment="1">
      <alignment horizontal="left"/>
    </xf>
    <xf numFmtId="0" fontId="0" fillId="0" borderId="23" xfId="0" applyBorder="1" applyAlignment="1">
      <alignment horizontal="left"/>
    </xf>
    <xf numFmtId="0" fontId="30" fillId="0" borderId="14" xfId="0" applyFont="1" applyBorder="1" applyAlignment="1">
      <alignment horizontal="center" wrapText="1"/>
    </xf>
    <xf numFmtId="0" fontId="30" fillId="0" borderId="13" xfId="0" applyFont="1" applyBorder="1" applyAlignment="1">
      <alignment horizontal="center" wrapText="1"/>
    </xf>
    <xf numFmtId="0" fontId="0" fillId="0" borderId="22" xfId="0" applyFont="1" applyBorder="1" applyAlignment="1">
      <alignment horizontal="left"/>
    </xf>
    <xf numFmtId="0" fontId="0" fillId="0" borderId="14" xfId="0" applyFont="1" applyBorder="1" applyAlignment="1">
      <alignment horizontal="left"/>
    </xf>
    <xf numFmtId="0" fontId="26" fillId="27" borderId="57" xfId="0" applyFont="1" applyFill="1" applyBorder="1" applyAlignment="1">
      <alignment horizontal="center" vertical="center"/>
    </xf>
    <xf numFmtId="0" fontId="26" fillId="27" borderId="58" xfId="0" applyFont="1" applyFill="1" applyBorder="1" applyAlignment="1">
      <alignment horizontal="center" vertical="center"/>
    </xf>
    <xf numFmtId="0" fontId="26" fillId="27" borderId="36" xfId="0" applyFont="1" applyFill="1" applyBorder="1" applyAlignment="1">
      <alignment horizontal="center" vertical="center"/>
    </xf>
    <xf numFmtId="0" fontId="0" fillId="0" borderId="55" xfId="0" applyBorder="1" applyAlignment="1">
      <alignment horizontal="left"/>
    </xf>
    <xf numFmtId="0" fontId="0" fillId="0" borderId="53" xfId="0" applyBorder="1" applyAlignment="1">
      <alignment horizontal="left"/>
    </xf>
    <xf numFmtId="0" fontId="0" fillId="0" borderId="56" xfId="0" applyBorder="1" applyAlignment="1">
      <alignment horizontal="left"/>
    </xf>
    <xf numFmtId="0" fontId="0" fillId="0" borderId="24" xfId="0" applyBorder="1" applyAlignment="1">
      <alignment horizontal="left"/>
    </xf>
    <xf numFmtId="0" fontId="0" fillId="0" borderId="54" xfId="0" applyBorder="1" applyAlignment="1">
      <alignment horizontal="left"/>
    </xf>
    <xf numFmtId="0" fontId="0" fillId="0" borderId="50"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49" xfId="0" applyBorder="1" applyAlignment="1">
      <alignment horizontal="left"/>
    </xf>
    <xf numFmtId="0" fontId="0" fillId="0" borderId="46" xfId="0" applyBorder="1" applyAlignment="1">
      <alignment horizontal="left"/>
    </xf>
    <xf numFmtId="0" fontId="0" fillId="0" borderId="48" xfId="0" applyBorder="1" applyAlignment="1">
      <alignment horizontal="left"/>
    </xf>
    <xf numFmtId="0" fontId="0" fillId="0" borderId="45" xfId="0" applyBorder="1" applyAlignment="1">
      <alignment horizontal="left"/>
    </xf>
    <xf numFmtId="0" fontId="0" fillId="0" borderId="47" xfId="0" applyBorder="1" applyAlignment="1">
      <alignment horizontal="left"/>
    </xf>
    <xf numFmtId="0" fontId="0" fillId="0" borderId="59" xfId="0" applyBorder="1" applyAlignment="1">
      <alignment horizontal="left"/>
    </xf>
    <xf numFmtId="0" fontId="0" fillId="0" borderId="25" xfId="0" applyBorder="1" applyAlignment="1">
      <alignment horizontal="left"/>
    </xf>
    <xf numFmtId="0" fontId="0" fillId="0" borderId="60" xfId="0" applyBorder="1" applyAlignment="1">
      <alignment horizontal="left"/>
    </xf>
    <xf numFmtId="0" fontId="0" fillId="0" borderId="61" xfId="0" applyBorder="1" applyAlignment="1">
      <alignment horizontal="left"/>
    </xf>
    <xf numFmtId="0" fontId="0" fillId="0" borderId="62" xfId="0" applyBorder="1" applyAlignment="1">
      <alignment horizontal="left"/>
    </xf>
    <xf numFmtId="0" fontId="0" fillId="0" borderId="63" xfId="0" applyBorder="1" applyAlignment="1">
      <alignment horizontal="left"/>
    </xf>
  </cellXfs>
  <cellStyles count="48">
    <cellStyle name="20 % – Zvýraznění1 2" xfId="2" xr:uid="{00000000-0005-0000-0000-000000000000}"/>
    <cellStyle name="20 % – Zvýraznění2 2" xfId="3" xr:uid="{00000000-0005-0000-0000-000001000000}"/>
    <cellStyle name="20 % – Zvýraznění3 2" xfId="4" xr:uid="{00000000-0005-0000-0000-000002000000}"/>
    <cellStyle name="20 % – Zvýraznění4 2" xfId="5" xr:uid="{00000000-0005-0000-0000-000003000000}"/>
    <cellStyle name="20 % – Zvýraznění5 2" xfId="6" xr:uid="{00000000-0005-0000-0000-000004000000}"/>
    <cellStyle name="20 % – Zvýraznění6 2" xfId="7" xr:uid="{00000000-0005-0000-0000-000005000000}"/>
    <cellStyle name="40 % – Zvýraznění1 2" xfId="8" xr:uid="{00000000-0005-0000-0000-000006000000}"/>
    <cellStyle name="40 % – Zvýraznění2 2" xfId="9" xr:uid="{00000000-0005-0000-0000-000007000000}"/>
    <cellStyle name="40 % – Zvýraznění3 2" xfId="10" xr:uid="{00000000-0005-0000-0000-000008000000}"/>
    <cellStyle name="40 % – Zvýraznění4 2" xfId="11" xr:uid="{00000000-0005-0000-0000-000009000000}"/>
    <cellStyle name="40 % – Zvýraznění5 2" xfId="12" xr:uid="{00000000-0005-0000-0000-00000A000000}"/>
    <cellStyle name="40 % – Zvýraznění6 2" xfId="13" xr:uid="{00000000-0005-0000-0000-00000B000000}"/>
    <cellStyle name="60 % – Zvýraznění1 2" xfId="14" xr:uid="{00000000-0005-0000-0000-00000C000000}"/>
    <cellStyle name="60 % – Zvýraznění2 2" xfId="15" xr:uid="{00000000-0005-0000-0000-00000D000000}"/>
    <cellStyle name="60 % – Zvýraznění3 2" xfId="16" xr:uid="{00000000-0005-0000-0000-00000E000000}"/>
    <cellStyle name="60 % – Zvýraznění4 2" xfId="17" xr:uid="{00000000-0005-0000-0000-00000F000000}"/>
    <cellStyle name="60 % – Zvýraznění5 2" xfId="18" xr:uid="{00000000-0005-0000-0000-000010000000}"/>
    <cellStyle name="60 % – Zvýraznění6 2" xfId="19" xr:uid="{00000000-0005-0000-0000-000011000000}"/>
    <cellStyle name="Celkem 2" xfId="20" xr:uid="{00000000-0005-0000-0000-000012000000}"/>
    <cellStyle name="Čárka" xfId="47" builtinId="3"/>
    <cellStyle name="Chybně 2" xfId="21" xr:uid="{00000000-0005-0000-0000-000014000000}"/>
    <cellStyle name="Kontrolní buňka 2" xfId="22" xr:uid="{00000000-0005-0000-0000-000015000000}"/>
    <cellStyle name="Nadpis 1 2" xfId="23" xr:uid="{00000000-0005-0000-0000-000016000000}"/>
    <cellStyle name="Nadpis 2 2" xfId="24" xr:uid="{00000000-0005-0000-0000-000017000000}"/>
    <cellStyle name="Nadpis 3 2" xfId="25" xr:uid="{00000000-0005-0000-0000-000018000000}"/>
    <cellStyle name="Nadpis 4 2" xfId="26" xr:uid="{00000000-0005-0000-0000-000019000000}"/>
    <cellStyle name="Název 2" xfId="27" xr:uid="{00000000-0005-0000-0000-00001A000000}"/>
    <cellStyle name="Neutrální 2" xfId="28" xr:uid="{00000000-0005-0000-0000-00001B000000}"/>
    <cellStyle name="Normální" xfId="0" builtinId="0"/>
    <cellStyle name="Normální 2" xfId="29" xr:uid="{00000000-0005-0000-0000-00001D000000}"/>
    <cellStyle name="Normální 2 2" xfId="30" xr:uid="{00000000-0005-0000-0000-00001E000000}"/>
    <cellStyle name="Normální 3" xfId="31" xr:uid="{00000000-0005-0000-0000-00001F000000}"/>
    <cellStyle name="Normální 4" xfId="32" xr:uid="{00000000-0005-0000-0000-000020000000}"/>
    <cellStyle name="Normální 5" xfId="1" xr:uid="{00000000-0005-0000-0000-000021000000}"/>
    <cellStyle name="Poznámka 2" xfId="33" xr:uid="{00000000-0005-0000-0000-000022000000}"/>
    <cellStyle name="Propojená buňka 2" xfId="34" xr:uid="{00000000-0005-0000-0000-000023000000}"/>
    <cellStyle name="Správně 2" xfId="35" xr:uid="{00000000-0005-0000-0000-000024000000}"/>
    <cellStyle name="Text upozornění 2" xfId="36" xr:uid="{00000000-0005-0000-0000-000025000000}"/>
    <cellStyle name="Vstup 2" xfId="37" xr:uid="{00000000-0005-0000-0000-000026000000}"/>
    <cellStyle name="Výpočet 2" xfId="38" xr:uid="{00000000-0005-0000-0000-000027000000}"/>
    <cellStyle name="Výstup 2" xfId="39" xr:uid="{00000000-0005-0000-0000-000028000000}"/>
    <cellStyle name="Vysvětlující text 2" xfId="40" xr:uid="{00000000-0005-0000-0000-000029000000}"/>
    <cellStyle name="Zvýraznění 1 2" xfId="41" xr:uid="{00000000-0005-0000-0000-00002A000000}"/>
    <cellStyle name="Zvýraznění 2 2" xfId="42" xr:uid="{00000000-0005-0000-0000-00002B000000}"/>
    <cellStyle name="Zvýraznění 3 2" xfId="43" xr:uid="{00000000-0005-0000-0000-00002C000000}"/>
    <cellStyle name="Zvýraznění 4 2" xfId="44" xr:uid="{00000000-0005-0000-0000-00002D000000}"/>
    <cellStyle name="Zvýraznění 5 2" xfId="45" xr:uid="{00000000-0005-0000-0000-00002E000000}"/>
    <cellStyle name="Zvýraznění 6 2" xfId="46" xr:uid="{00000000-0005-0000-0000-00002F000000}"/>
  </cellStyles>
  <dxfs count="0"/>
  <tableStyles count="0" defaultTableStyle="TableStyleMedium2" defaultPivotStyle="PivotStyleLight16"/>
  <colors>
    <mruColors>
      <color rgb="FF19FF1E"/>
      <color rgb="FF6DFD55"/>
      <color rgb="FF99FF66"/>
      <color rgb="FF66FF33"/>
      <color rgb="FF4CFD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499984740745262"/>
    <pageSetUpPr fitToPage="1"/>
  </sheetPr>
  <dimension ref="B1:I31"/>
  <sheetViews>
    <sheetView tabSelected="1" workbookViewId="0">
      <selection activeCell="E32" sqref="E32"/>
    </sheetView>
  </sheetViews>
  <sheetFormatPr defaultRowHeight="15" x14ac:dyDescent="0.25"/>
  <cols>
    <col min="1" max="1" width="3.42578125" customWidth="1"/>
    <col min="2" max="2" width="26" customWidth="1"/>
    <col min="3" max="3" width="19.140625" customWidth="1"/>
    <col min="4" max="4" width="17.42578125" customWidth="1"/>
    <col min="5" max="5" width="18.5703125" customWidth="1"/>
    <col min="6" max="7" width="18.28515625" customWidth="1"/>
    <col min="8" max="8" width="30.85546875" customWidth="1"/>
    <col min="9" max="9" width="12.5703125" bestFit="1" customWidth="1"/>
  </cols>
  <sheetData>
    <row r="1" spans="2:9" ht="26.25" x14ac:dyDescent="0.4">
      <c r="B1" s="2"/>
      <c r="C1" s="1"/>
      <c r="D1" s="1"/>
      <c r="E1" s="1"/>
      <c r="F1" s="1"/>
      <c r="G1" s="1"/>
    </row>
    <row r="2" spans="2:9" ht="18.75" x14ac:dyDescent="0.3">
      <c r="B2" s="3" t="s">
        <v>0</v>
      </c>
      <c r="C2" s="1"/>
      <c r="D2" s="1"/>
      <c r="E2" s="1"/>
      <c r="F2" s="23" t="s">
        <v>981</v>
      </c>
      <c r="G2" s="23"/>
      <c r="H2" t="s">
        <v>1159</v>
      </c>
    </row>
    <row r="3" spans="2:9" ht="15.75" x14ac:dyDescent="0.25">
      <c r="B3" s="4" t="s">
        <v>1223</v>
      </c>
      <c r="C3" s="1"/>
      <c r="D3" s="1"/>
      <c r="E3" s="1"/>
      <c r="F3" s="23" t="s">
        <v>982</v>
      </c>
      <c r="G3" s="23"/>
      <c r="H3" t="s">
        <v>983</v>
      </c>
    </row>
    <row r="4" spans="2:9" x14ac:dyDescent="0.25">
      <c r="F4" s="23" t="s">
        <v>1224</v>
      </c>
      <c r="H4" t="s">
        <v>1225</v>
      </c>
    </row>
    <row r="5" spans="2:9" ht="60.75" thickBot="1" x14ac:dyDescent="0.3">
      <c r="B5" s="96" t="s">
        <v>1</v>
      </c>
      <c r="C5" s="64" t="s">
        <v>1156</v>
      </c>
      <c r="D5" s="64" t="s">
        <v>1157</v>
      </c>
      <c r="E5" s="239" t="s">
        <v>1185</v>
      </c>
      <c r="F5" s="66" t="s">
        <v>1158</v>
      </c>
      <c r="G5" s="67" t="s">
        <v>266</v>
      </c>
      <c r="H5" s="65" t="s">
        <v>926</v>
      </c>
    </row>
    <row r="6" spans="2:9" x14ac:dyDescent="0.25">
      <c r="B6" s="97" t="s">
        <v>2</v>
      </c>
      <c r="C6" s="101">
        <f>'TO Roudnice n.L. 1.a 2.kolo'!J91</f>
        <v>31.792000000000009</v>
      </c>
      <c r="D6" s="101">
        <f>'TO Roudnice n.L. 1.a 2.kolo'!K91</f>
        <v>105.19499999999999</v>
      </c>
      <c r="E6" s="227">
        <v>4.5</v>
      </c>
      <c r="F6" s="5" t="s">
        <v>3</v>
      </c>
      <c r="G6" s="213"/>
      <c r="H6" s="115" t="s">
        <v>3</v>
      </c>
    </row>
    <row r="7" spans="2:9" ht="15" customHeight="1" x14ac:dyDescent="0.25">
      <c r="B7" s="97" t="s">
        <v>4</v>
      </c>
      <c r="C7" s="102">
        <f>'TO Lovosice 1.a 2. kolo'!J156</f>
        <v>52.476000000000028</v>
      </c>
      <c r="D7" s="102">
        <f>'TO Lovosice 1.a 2. kolo'!K156</f>
        <v>75.307000000000016</v>
      </c>
      <c r="E7" s="228">
        <v>8.4</v>
      </c>
      <c r="F7" s="5">
        <v>0.2</v>
      </c>
      <c r="G7" s="228" t="s">
        <v>1076</v>
      </c>
      <c r="H7" s="116" t="s">
        <v>3</v>
      </c>
    </row>
    <row r="8" spans="2:9" x14ac:dyDescent="0.25">
      <c r="B8" s="97" t="s">
        <v>7</v>
      </c>
      <c r="C8" s="154">
        <f>'TO Litoměřice 1.a 2. kolo'!J90</f>
        <v>32.57</v>
      </c>
      <c r="D8" s="102">
        <f>'TO Litoměřice 1.a 2. kolo'!K90</f>
        <v>69.938000000000002</v>
      </c>
      <c r="E8" s="227">
        <v>39.83</v>
      </c>
      <c r="F8" s="5" t="s">
        <v>3</v>
      </c>
      <c r="G8" s="227"/>
      <c r="H8" s="130" t="s">
        <v>1041</v>
      </c>
    </row>
    <row r="9" spans="2:9" x14ac:dyDescent="0.25">
      <c r="B9" s="98" t="s">
        <v>5</v>
      </c>
      <c r="C9" s="102">
        <f>'TO Ústí n.L. západ 1.a 2. kolo'!J143</f>
        <v>77.060000000000016</v>
      </c>
      <c r="D9" s="154">
        <f>'TO Ústí n.L. západ 1.a 2. kolo'!K143</f>
        <v>14.302</v>
      </c>
      <c r="E9" s="227">
        <v>12</v>
      </c>
      <c r="F9" s="5" t="s">
        <v>3</v>
      </c>
      <c r="G9" s="227"/>
      <c r="H9" s="116" t="s">
        <v>3</v>
      </c>
    </row>
    <row r="10" spans="2:9" x14ac:dyDescent="0.25">
      <c r="B10" s="97" t="s">
        <v>956</v>
      </c>
      <c r="C10" s="102">
        <f>'TO Ústí n.L. Hl.n. 1.a 2. kolo'!J58</f>
        <v>33.262999999999998</v>
      </c>
      <c r="D10" s="102">
        <f>'TO Ústí n.L. Hl.n. 1.a 2. kolo'!K58</f>
        <v>45.927999999999997</v>
      </c>
      <c r="E10" s="227">
        <v>2.4</v>
      </c>
      <c r="F10" s="5" t="s">
        <v>3</v>
      </c>
      <c r="G10" s="227"/>
      <c r="H10" s="116" t="s">
        <v>3</v>
      </c>
    </row>
    <row r="11" spans="2:9" x14ac:dyDescent="0.25">
      <c r="B11" s="97" t="s">
        <v>6</v>
      </c>
      <c r="C11" s="154">
        <f>'TO Děčín hl.n. 1.a 2. kolo'!J149</f>
        <v>60.07</v>
      </c>
      <c r="D11" s="102">
        <f>'TO Děčín hl.n. 1.a 2. kolo'!K149</f>
        <v>60.947999999999993</v>
      </c>
      <c r="E11" s="227"/>
      <c r="F11" s="5" t="s">
        <v>3</v>
      </c>
      <c r="G11" s="227"/>
      <c r="H11" s="116" t="s">
        <v>3</v>
      </c>
    </row>
    <row r="12" spans="2:9" x14ac:dyDescent="0.25">
      <c r="B12" s="97" t="s">
        <v>8</v>
      </c>
      <c r="C12" s="102">
        <f>'TO Děčín východ 1.a 2. kolo'!J109</f>
        <v>47.496999999999986</v>
      </c>
      <c r="D12" s="154">
        <f>'TO Děčín východ 1.a 2. kolo'!K109</f>
        <v>61.36</v>
      </c>
      <c r="E12" s="227">
        <v>2.4500000000000002</v>
      </c>
      <c r="F12" s="5" t="s">
        <v>3</v>
      </c>
      <c r="G12" s="227"/>
      <c r="H12" s="116" t="s">
        <v>3</v>
      </c>
    </row>
    <row r="13" spans="2:9" x14ac:dyDescent="0.25">
      <c r="B13" s="99" t="s">
        <v>9</v>
      </c>
      <c r="C13" s="102">
        <f>'TO Česká Kamenice 1.a 2. kolo'!J110</f>
        <v>20.256</v>
      </c>
      <c r="D13" s="102">
        <f>'TO Česká Kamenice 1.a 2. kolo'!K110</f>
        <v>67.216999999999999</v>
      </c>
      <c r="E13" s="227"/>
      <c r="F13" s="5" t="s">
        <v>3</v>
      </c>
      <c r="G13" s="227"/>
      <c r="H13" s="116" t="s">
        <v>3</v>
      </c>
    </row>
    <row r="14" spans="2:9" ht="15.75" thickBot="1" x14ac:dyDescent="0.3">
      <c r="B14" s="100" t="s">
        <v>10</v>
      </c>
      <c r="C14" s="103">
        <f>'TO Rumburk 1.a 2. kolo'!J87</f>
        <v>12.407999999999992</v>
      </c>
      <c r="D14" s="103">
        <f>'TO Rumburk 1.a 2. kolo'!K87</f>
        <v>57.020999999999994</v>
      </c>
      <c r="E14" s="211"/>
      <c r="F14" s="6" t="s">
        <v>3</v>
      </c>
      <c r="G14" s="211"/>
      <c r="H14" s="117" t="s">
        <v>3</v>
      </c>
    </row>
    <row r="15" spans="2:9" ht="17.25" x14ac:dyDescent="0.25">
      <c r="B15" s="216" t="s">
        <v>1160</v>
      </c>
      <c r="C15" s="146">
        <f>SUM(C6:C14)</f>
        <v>367.39200000000005</v>
      </c>
      <c r="D15" s="146">
        <f>SUM(D6:D14)</f>
        <v>557.21600000000001</v>
      </c>
      <c r="E15" s="114">
        <f>SUM(E6:E14)</f>
        <v>69.58</v>
      </c>
      <c r="F15" s="114">
        <f>SUM(F7:F13)</f>
        <v>0.2</v>
      </c>
      <c r="G15" s="249"/>
      <c r="H15" s="118" t="s">
        <v>1049</v>
      </c>
      <c r="I15" s="118" t="s">
        <v>1049</v>
      </c>
    </row>
    <row r="16" spans="2:9" x14ac:dyDescent="0.25">
      <c r="C16" s="71" t="s">
        <v>1165</v>
      </c>
      <c r="D16" s="134">
        <f>C15+D15</f>
        <v>924.60800000000006</v>
      </c>
      <c r="F16" s="11"/>
    </row>
    <row r="17" spans="2:7" x14ac:dyDescent="0.25">
      <c r="C17" s="71"/>
      <c r="D17" s="134"/>
      <c r="E17">
        <f>C23/10000*4</f>
        <v>1.6703715199999998</v>
      </c>
    </row>
    <row r="18" spans="2:7" x14ac:dyDescent="0.25">
      <c r="C18" s="153" t="s">
        <v>1168</v>
      </c>
      <c r="D18" s="153" t="s">
        <v>1169</v>
      </c>
    </row>
    <row r="19" spans="2:7" x14ac:dyDescent="0.25">
      <c r="B19" s="217" t="s">
        <v>1186</v>
      </c>
      <c r="C19" s="221">
        <f>SUM('TO Roudnice n.L. 1.a 2.kolo'!K94,'TO Lovosice 1.a 2. kolo'!K159,'TO Litoměřice 1.a 2. kolo'!K93,'TO Ústí n.L. západ 1.a 2. kolo'!K146,'TO Ústí n.L. Hl.n. 1.a 2. kolo'!K61,'TO Děčín hl.n. 1.a 2. kolo'!K152,'TO Děčín východ 1.a 2. kolo'!K112,'TO Česká Kamenice 1.a 2. kolo'!K113,'TO Rumburk 1.a 2. kolo'!K90)</f>
        <v>501.11709999999994</v>
      </c>
      <c r="D19" s="221">
        <f>SUM('TO Roudnice n.L. 1.a 2.kolo'!K95,'TO Lovosice 1.a 2. kolo'!K160,'TO Litoměřice 1.a 2. kolo'!K94,'TO Ústí n.L. západ 1.a 2. kolo'!K147,'TO Ústí n.L. Hl.n. 1.a 2. kolo'!K62,'TO Děčín hl.n. 1.a 2. kolo'!K153,'TO Děčín východ 1.a 2. kolo'!K113,'TO Česká Kamenice 1.a 2. kolo'!K114,'TO Rumburk 1.a 2. kolo'!K91)</f>
        <v>263.88890000000004</v>
      </c>
      <c r="E19" s="235"/>
    </row>
    <row r="20" spans="2:7" x14ac:dyDescent="0.25">
      <c r="B20" s="71"/>
      <c r="C20" s="153" t="s">
        <v>1166</v>
      </c>
      <c r="D20" s="145" t="s">
        <v>1167</v>
      </c>
      <c r="E20" s="218"/>
      <c r="F20" s="11"/>
      <c r="G20" s="11"/>
    </row>
    <row r="21" spans="2:7" x14ac:dyDescent="0.25">
      <c r="B21" s="217" t="s">
        <v>1186</v>
      </c>
      <c r="C21" s="220">
        <f>SUM('TO Roudnice n.L. 1.a 2.kolo'!K99,'TO Lovosice 1.a 2. kolo'!K164,'TO Litoměřice 1.a 2. kolo'!K98,'TO Ústí n.L. západ 1.a 2. kolo'!K151,'TO Ústí n.L. Hl.n. 1.a 2. kolo'!K66,'TO Děčín hl.n. 1.a 2. kolo'!K157,'TO Děčín východ 1.a 2. kolo'!K117,'TO Česká Kamenice 1.a 2. kolo'!K118,'TO Rumburk 1.a 2. kolo'!K95)</f>
        <v>2004.4683999999997</v>
      </c>
      <c r="D21" s="221">
        <f>SUM('TO Roudnice n.L. 1.a 2.kolo'!K100,'TO Lovosice 1.a 2. kolo'!K165,'TO Litoměřice 1.a 2. kolo'!K99,'TO Ústí n.L. západ 1.a 2. kolo'!K152,'TO Ústí n.L. Hl.n. 1.a 2. kolo'!K67,'TO Děčín hl.n. 1.a 2. kolo'!K158,'TO Děčín východ 1.a 2. kolo'!K118,'TO Česká Kamenice 1.a 2. kolo'!K119,'TO Rumburk 1.a 2. kolo'!K96)</f>
        <v>475.00002000000006</v>
      </c>
      <c r="E21" s="204"/>
      <c r="F21" s="11"/>
      <c r="G21" s="11"/>
    </row>
    <row r="22" spans="2:7" x14ac:dyDescent="0.25">
      <c r="B22" s="13" t="s">
        <v>1221</v>
      </c>
      <c r="C22" s="250">
        <f>C21*2</f>
        <v>4008.9367999999995</v>
      </c>
      <c r="D22" s="250">
        <f>D21*2</f>
        <v>950.00004000000013</v>
      </c>
    </row>
    <row r="23" spans="2:7" x14ac:dyDescent="0.25">
      <c r="B23" s="13" t="s">
        <v>1222</v>
      </c>
      <c r="C23" s="221">
        <f>C22+(E15*1000*6/10000*4)</f>
        <v>4175.9287999999997</v>
      </c>
      <c r="D23" s="250">
        <f>D22</f>
        <v>950.00004000000013</v>
      </c>
    </row>
    <row r="24" spans="2:7" x14ac:dyDescent="0.25">
      <c r="B24" s="71"/>
      <c r="C24" s="127"/>
    </row>
    <row r="26" spans="2:7" hidden="1" x14ac:dyDescent="0.25">
      <c r="C26" t="s">
        <v>1161</v>
      </c>
      <c r="D26" t="s">
        <v>1162</v>
      </c>
    </row>
    <row r="27" spans="2:7" hidden="1" x14ac:dyDescent="0.25">
      <c r="B27" s="110" t="s">
        <v>1033</v>
      </c>
      <c r="C27">
        <f>'TO Roudnice n.L. 1.a 2.kolo'!M91+'TO Lovosice 1.a 2. kolo'!M156+'TO Litoměřice 1.a 2. kolo'!M90+'TO Ústí n.L. západ 1.a 2. kolo'!M143+'TO Ústí n.L. Hl.n. 1.a 2. kolo'!M58+'TO Děčín hl.n. 1.a 2. kolo'!M149+'TO Děčín východ 1.a 2. kolo'!M109+'TO Česká Kamenice 1.a 2. kolo'!M110+'TO Rumburk 1.a 2. kolo'!M87</f>
        <v>924.60799999999995</v>
      </c>
      <c r="D27">
        <f>C27*2</f>
        <v>1849.2159999999999</v>
      </c>
      <c r="E27" s="170"/>
    </row>
    <row r="28" spans="2:7" hidden="1" x14ac:dyDescent="0.25">
      <c r="B28" s="110" t="s">
        <v>1164</v>
      </c>
      <c r="C28">
        <f>'TO Roudnice n.L. 1.a 2.kolo'!F96+'TO Lovosice 1.a 2. kolo'!F162+'TO Litoměřice 1.a 2. kolo'!F95+'TO Ústí n.L. západ 1.a 2. kolo'!F143+'TO Ústí n.L. Hl.n. 1.a 2. kolo'!F59+'TO Děčín hl.n. 1.a 2. kolo'!F150+'TO Děčín východ 1.a 2. kolo'!F114+'TO Česká Kamenice 1.a 2. kolo'!F116+'TO Rumburk 1.a 2. kolo'!F92</f>
        <v>439.54499999999996</v>
      </c>
      <c r="D28">
        <f>C28*0.72</f>
        <v>316.47239999999994</v>
      </c>
      <c r="E28" s="170"/>
    </row>
    <row r="29" spans="2:7" hidden="1" x14ac:dyDescent="0.25"/>
    <row r="30" spans="2:7" hidden="1" x14ac:dyDescent="0.25">
      <c r="C30" t="s">
        <v>1163</v>
      </c>
      <c r="D30" t="s">
        <v>1162</v>
      </c>
    </row>
    <row r="31" spans="2:7" hidden="1" x14ac:dyDescent="0.25"/>
  </sheetData>
  <pageMargins left="0.70866141732283472" right="0.70866141732283472" top="0.78740157480314965" bottom="0.78740157480314965" header="0.31496062992125984" footer="0.31496062992125984"/>
  <pageSetup paperSize="9" scale="8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B1:O120"/>
  <sheetViews>
    <sheetView topLeftCell="A76" workbookViewId="0">
      <selection activeCell="K115" sqref="K115"/>
    </sheetView>
  </sheetViews>
  <sheetFormatPr defaultRowHeight="15" x14ac:dyDescent="0.25"/>
  <cols>
    <col min="2" max="3" width="12.7109375" customWidth="1"/>
    <col min="4" max="4" width="33.85546875" customWidth="1"/>
    <col min="5" max="5" width="17.7109375" customWidth="1"/>
    <col min="6" max="8" width="10.7109375" customWidth="1"/>
    <col min="9" max="9" width="24.5703125" customWidth="1"/>
    <col min="10" max="11" width="10.7109375" customWidth="1"/>
    <col min="12" max="12" width="18.7109375" customWidth="1"/>
    <col min="13" max="13" width="27.7109375" customWidth="1"/>
  </cols>
  <sheetData>
    <row r="1" spans="2:13" ht="15.75" thickBot="1" x14ac:dyDescent="0.3"/>
    <row r="2" spans="2:13" ht="19.5" thickBot="1" x14ac:dyDescent="0.3">
      <c r="B2" s="349" t="s">
        <v>18</v>
      </c>
      <c r="C2" s="350"/>
      <c r="D2" s="350"/>
      <c r="E2" s="350"/>
      <c r="F2" s="350"/>
      <c r="G2" s="350"/>
      <c r="H2" s="350"/>
      <c r="I2" s="350"/>
      <c r="J2" s="350"/>
      <c r="K2" s="350"/>
      <c r="L2" s="350"/>
      <c r="M2" s="351"/>
    </row>
    <row r="3" spans="2:13" x14ac:dyDescent="0.25">
      <c r="B3" s="357" t="s">
        <v>19</v>
      </c>
      <c r="C3" s="355"/>
      <c r="D3" s="355"/>
      <c r="E3" s="355"/>
      <c r="F3" s="355"/>
      <c r="G3" s="355"/>
      <c r="H3" s="355"/>
      <c r="I3" s="355" t="s">
        <v>1003</v>
      </c>
      <c r="J3" s="355"/>
      <c r="K3" s="355"/>
      <c r="L3" s="355"/>
      <c r="M3" s="356"/>
    </row>
    <row r="4" spans="2:13" x14ac:dyDescent="0.25">
      <c r="B4" s="352"/>
      <c r="C4" s="353"/>
      <c r="D4" s="353"/>
      <c r="E4" s="353"/>
      <c r="F4" s="353"/>
      <c r="G4" s="353"/>
      <c r="H4" s="353"/>
      <c r="I4" s="353"/>
      <c r="J4" s="353"/>
      <c r="K4" s="353"/>
      <c r="L4" s="353"/>
      <c r="M4" s="354"/>
    </row>
    <row r="5" spans="2:13" ht="15.75" thickBot="1" x14ac:dyDescent="0.3">
      <c r="B5" s="358" t="s">
        <v>28</v>
      </c>
      <c r="C5" s="359"/>
      <c r="D5" s="359"/>
      <c r="E5" s="359" t="s">
        <v>96</v>
      </c>
      <c r="F5" s="359"/>
      <c r="G5" s="359"/>
      <c r="H5" s="359"/>
      <c r="I5" s="359"/>
      <c r="J5" s="359" t="s">
        <v>97</v>
      </c>
      <c r="K5" s="359"/>
      <c r="L5" s="359"/>
      <c r="M5" s="360"/>
    </row>
    <row r="6" spans="2:13" ht="30"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row>
    <row r="7" spans="2:13" x14ac:dyDescent="0.25">
      <c r="B7" s="9"/>
      <c r="C7" s="9"/>
      <c r="D7" s="48" t="s">
        <v>743</v>
      </c>
      <c r="E7" s="9"/>
      <c r="F7" s="9"/>
      <c r="G7" s="9"/>
      <c r="H7" s="9"/>
      <c r="I7" s="9"/>
      <c r="J7" s="9"/>
      <c r="K7" s="9"/>
      <c r="L7" s="9"/>
      <c r="M7" s="9"/>
    </row>
    <row r="8" spans="2:13" x14ac:dyDescent="0.25">
      <c r="B8" s="8"/>
      <c r="C8" s="8"/>
      <c r="D8" s="34" t="s">
        <v>710</v>
      </c>
      <c r="E8" s="8" t="s">
        <v>711</v>
      </c>
      <c r="F8" s="52">
        <v>7.1449999999999996</v>
      </c>
      <c r="G8" s="52">
        <v>7.1449999999999996</v>
      </c>
      <c r="H8" s="155" t="s">
        <v>1004</v>
      </c>
      <c r="I8" s="156" t="s">
        <v>1006</v>
      </c>
      <c r="J8" s="163"/>
      <c r="K8" s="55">
        <v>7.1449999999999996</v>
      </c>
      <c r="L8" s="8" t="s">
        <v>958</v>
      </c>
      <c r="M8" s="8"/>
    </row>
    <row r="9" spans="2:13" x14ac:dyDescent="0.25">
      <c r="B9" s="8"/>
      <c r="C9" s="8"/>
      <c r="D9" s="57" t="s">
        <v>712</v>
      </c>
      <c r="E9" s="8"/>
      <c r="F9" s="8"/>
      <c r="G9" s="8"/>
      <c r="H9" s="155"/>
      <c r="I9" s="8"/>
      <c r="J9" s="8"/>
      <c r="K9" s="123"/>
      <c r="L9" s="8"/>
      <c r="M9" s="8"/>
    </row>
    <row r="10" spans="2:13" x14ac:dyDescent="0.25">
      <c r="B10" s="8"/>
      <c r="C10" s="8"/>
      <c r="D10" s="13" t="s">
        <v>1142</v>
      </c>
      <c r="E10" s="8" t="s">
        <v>713</v>
      </c>
      <c r="F10" s="179">
        <v>0.75800000000000001</v>
      </c>
      <c r="G10" s="179">
        <v>0.75800000000000001</v>
      </c>
      <c r="H10" s="155" t="s">
        <v>1004</v>
      </c>
      <c r="I10" s="156" t="s">
        <v>1006</v>
      </c>
      <c r="J10" s="183">
        <v>0.75800000000000001</v>
      </c>
      <c r="K10" s="55"/>
      <c r="L10" s="8" t="s">
        <v>958</v>
      </c>
      <c r="M10" s="8"/>
    </row>
    <row r="11" spans="2:13" x14ac:dyDescent="0.25">
      <c r="B11" s="8"/>
      <c r="C11" s="8"/>
      <c r="D11" s="13" t="s">
        <v>371</v>
      </c>
      <c r="E11" s="8" t="s">
        <v>714</v>
      </c>
      <c r="F11" s="179">
        <v>0.77400000000000002</v>
      </c>
      <c r="G11" s="179">
        <v>0.77400000000000002</v>
      </c>
      <c r="H11" s="155" t="s">
        <v>1004</v>
      </c>
      <c r="I11" s="156" t="s">
        <v>1006</v>
      </c>
      <c r="J11" s="183">
        <v>0.77400000000000002</v>
      </c>
      <c r="K11" s="55"/>
      <c r="L11" s="8" t="s">
        <v>958</v>
      </c>
      <c r="M11" s="8"/>
    </row>
    <row r="12" spans="2:13" x14ac:dyDescent="0.25">
      <c r="B12" s="8"/>
      <c r="C12" s="8"/>
      <c r="D12" s="13" t="s">
        <v>34</v>
      </c>
      <c r="E12" s="8" t="s">
        <v>718</v>
      </c>
      <c r="F12" s="179">
        <v>0.14399999999999999</v>
      </c>
      <c r="G12" s="179">
        <v>0.14399999999999999</v>
      </c>
      <c r="H12" s="155" t="s">
        <v>1004</v>
      </c>
      <c r="I12" s="156" t="s">
        <v>1006</v>
      </c>
      <c r="J12" s="183">
        <v>0.14399999999999999</v>
      </c>
      <c r="K12" s="55"/>
      <c r="L12" s="8" t="s">
        <v>958</v>
      </c>
      <c r="M12" s="8"/>
    </row>
    <row r="13" spans="2:13" x14ac:dyDescent="0.25">
      <c r="B13" s="8"/>
      <c r="C13" s="8"/>
      <c r="D13" s="13" t="s">
        <v>715</v>
      </c>
      <c r="E13" s="8" t="s">
        <v>716</v>
      </c>
      <c r="F13" s="51">
        <v>0.16</v>
      </c>
      <c r="G13" s="51">
        <v>0.16</v>
      </c>
      <c r="H13" s="155" t="s">
        <v>1004</v>
      </c>
      <c r="I13" s="156" t="s">
        <v>1006</v>
      </c>
      <c r="J13" s="51">
        <v>0.16</v>
      </c>
      <c r="K13" s="55"/>
      <c r="L13" s="8" t="s">
        <v>958</v>
      </c>
      <c r="M13" s="8"/>
    </row>
    <row r="14" spans="2:13" x14ac:dyDescent="0.25">
      <c r="B14" s="8"/>
      <c r="C14" s="8"/>
      <c r="D14" s="13" t="s">
        <v>1143</v>
      </c>
      <c r="E14" s="8" t="s">
        <v>717</v>
      </c>
      <c r="F14" s="179">
        <v>0.59499999999999997</v>
      </c>
      <c r="G14" s="179">
        <v>0.59499999999999997</v>
      </c>
      <c r="H14" s="155" t="s">
        <v>1004</v>
      </c>
      <c r="I14" s="156" t="s">
        <v>1006</v>
      </c>
      <c r="J14" s="183">
        <v>0.59499999999999997</v>
      </c>
      <c r="K14" s="55"/>
      <c r="L14" s="8" t="s">
        <v>958</v>
      </c>
      <c r="M14" s="8"/>
    </row>
    <row r="15" spans="2:13" x14ac:dyDescent="0.25">
      <c r="B15" s="8"/>
      <c r="C15" s="8"/>
      <c r="D15" s="13" t="s">
        <v>35</v>
      </c>
      <c r="E15" s="8" t="s">
        <v>717</v>
      </c>
      <c r="F15" s="179">
        <v>0.59499999999999997</v>
      </c>
      <c r="G15" s="179">
        <v>0.59499999999999997</v>
      </c>
      <c r="H15" s="155" t="s">
        <v>1004</v>
      </c>
      <c r="I15" s="156" t="s">
        <v>1006</v>
      </c>
      <c r="J15" s="183">
        <v>0.59499999999999997</v>
      </c>
      <c r="K15" s="55"/>
      <c r="L15" s="8" t="s">
        <v>958</v>
      </c>
      <c r="M15" s="8"/>
    </row>
    <row r="16" spans="2:13" x14ac:dyDescent="0.25">
      <c r="B16" s="8"/>
      <c r="C16" s="8"/>
      <c r="D16" s="13" t="s">
        <v>148</v>
      </c>
      <c r="E16" s="8"/>
      <c r="F16" s="179">
        <v>0.51500000000000001</v>
      </c>
      <c r="G16" s="179">
        <v>0.51500000000000001</v>
      </c>
      <c r="H16" s="155" t="s">
        <v>1004</v>
      </c>
      <c r="I16" s="156" t="s">
        <v>1006</v>
      </c>
      <c r="J16" s="183">
        <v>0.51500000000000001</v>
      </c>
      <c r="K16" s="55"/>
      <c r="L16" s="8" t="s">
        <v>958</v>
      </c>
      <c r="M16" s="8"/>
    </row>
    <row r="17" spans="2:15" x14ac:dyDescent="0.25">
      <c r="B17" s="8"/>
      <c r="C17" s="8"/>
      <c r="D17" s="8"/>
      <c r="E17" s="93" t="s">
        <v>89</v>
      </c>
      <c r="F17" s="43">
        <f>SUM(F10:F16)</f>
        <v>3.5409999999999999</v>
      </c>
      <c r="G17" s="43">
        <f>SUM(G10:G16)</f>
        <v>3.5409999999999999</v>
      </c>
      <c r="H17" s="155"/>
      <c r="I17" s="8"/>
      <c r="J17" s="8"/>
      <c r="K17" s="123"/>
      <c r="L17" s="8"/>
      <c r="M17" s="8"/>
    </row>
    <row r="18" spans="2:15" x14ac:dyDescent="0.25">
      <c r="B18" s="8"/>
      <c r="C18" s="8"/>
      <c r="D18" s="34" t="s">
        <v>722</v>
      </c>
      <c r="E18" s="8" t="s">
        <v>719</v>
      </c>
      <c r="F18" s="52">
        <v>4.782</v>
      </c>
      <c r="G18" s="52">
        <v>4.782</v>
      </c>
      <c r="H18" s="155">
        <v>2</v>
      </c>
      <c r="I18" s="156" t="s">
        <v>1005</v>
      </c>
      <c r="J18" s="163"/>
      <c r="K18" s="55">
        <v>4.782</v>
      </c>
      <c r="L18" s="8" t="s">
        <v>957</v>
      </c>
      <c r="M18" s="58"/>
    </row>
    <row r="19" spans="2:15" x14ac:dyDescent="0.25">
      <c r="B19" s="8"/>
      <c r="C19" s="8"/>
      <c r="D19" s="57" t="s">
        <v>723</v>
      </c>
      <c r="E19" s="8"/>
      <c r="F19" s="8"/>
      <c r="G19" s="8"/>
      <c r="H19" s="155"/>
      <c r="I19" s="8"/>
      <c r="J19" s="8"/>
      <c r="K19" s="123"/>
      <c r="L19" s="8"/>
      <c r="M19" s="8"/>
    </row>
    <row r="20" spans="2:15" x14ac:dyDescent="0.25">
      <c r="B20" s="8"/>
      <c r="C20" s="8"/>
      <c r="D20" s="13" t="s">
        <v>725</v>
      </c>
      <c r="E20" s="8" t="s">
        <v>724</v>
      </c>
      <c r="F20" s="93">
        <v>0.29799999999999999</v>
      </c>
      <c r="G20" s="165">
        <v>0.29799999999999999</v>
      </c>
      <c r="H20" s="155">
        <v>2</v>
      </c>
      <c r="I20" s="156" t="s">
        <v>1005</v>
      </c>
      <c r="J20" s="183">
        <v>0.29799999999999999</v>
      </c>
      <c r="K20" s="55"/>
      <c r="L20" s="8" t="s">
        <v>957</v>
      </c>
      <c r="M20" s="58"/>
    </row>
    <row r="21" spans="2:15" x14ac:dyDescent="0.25">
      <c r="B21" s="8"/>
      <c r="C21" s="8"/>
      <c r="D21" s="13" t="s">
        <v>32</v>
      </c>
      <c r="E21" s="8" t="s">
        <v>726</v>
      </c>
      <c r="F21" s="93">
        <v>0.29899999999999999</v>
      </c>
      <c r="G21" s="165">
        <v>0.29899999999999999</v>
      </c>
      <c r="H21" s="155">
        <v>2</v>
      </c>
      <c r="I21" s="156" t="s">
        <v>1005</v>
      </c>
      <c r="J21" s="183">
        <v>0.29899999999999999</v>
      </c>
      <c r="K21" s="55"/>
      <c r="L21" s="8" t="s">
        <v>957</v>
      </c>
      <c r="M21" s="58"/>
    </row>
    <row r="22" spans="2:15" x14ac:dyDescent="0.25">
      <c r="B22" s="8"/>
      <c r="C22" s="8"/>
      <c r="D22" s="13" t="s">
        <v>191</v>
      </c>
      <c r="E22" s="8"/>
      <c r="F22" s="93">
        <v>0.14499999999999999</v>
      </c>
      <c r="G22" s="165">
        <v>0.14499999999999999</v>
      </c>
      <c r="H22" s="155">
        <v>2</v>
      </c>
      <c r="I22" s="156" t="s">
        <v>1005</v>
      </c>
      <c r="J22" s="183">
        <v>0.14499999999999999</v>
      </c>
      <c r="K22" s="55"/>
      <c r="L22" s="8" t="s">
        <v>957</v>
      </c>
      <c r="M22" s="58"/>
    </row>
    <row r="23" spans="2:15" x14ac:dyDescent="0.25">
      <c r="B23" s="8"/>
      <c r="C23" s="8"/>
      <c r="D23" s="8"/>
      <c r="E23" s="93" t="s">
        <v>89</v>
      </c>
      <c r="F23" s="43">
        <f>SUM(F20:F22)</f>
        <v>0.74199999999999999</v>
      </c>
      <c r="G23" s="43">
        <f>SUM(G20:G22)</f>
        <v>0.74199999999999999</v>
      </c>
      <c r="H23" s="155"/>
      <c r="I23" s="8"/>
      <c r="J23" s="8"/>
      <c r="K23" s="123"/>
      <c r="L23" s="8"/>
      <c r="M23" s="8"/>
    </row>
    <row r="24" spans="2:15" x14ac:dyDescent="0.25">
      <c r="B24" s="8"/>
      <c r="C24" s="8"/>
      <c r="D24" s="34" t="s">
        <v>721</v>
      </c>
      <c r="E24" s="8" t="s">
        <v>727</v>
      </c>
      <c r="F24" s="52">
        <v>7.1760000000000002</v>
      </c>
      <c r="G24" s="52">
        <v>7.1760000000000002</v>
      </c>
      <c r="H24" s="155">
        <v>2</v>
      </c>
      <c r="I24" s="156" t="s">
        <v>1005</v>
      </c>
      <c r="J24" s="163"/>
      <c r="K24" s="55">
        <v>7.1760000000000002</v>
      </c>
      <c r="L24" s="8" t="s">
        <v>957</v>
      </c>
      <c r="M24" s="58"/>
      <c r="O24" s="134"/>
    </row>
    <row r="25" spans="2:15" x14ac:dyDescent="0.25">
      <c r="B25" s="8"/>
      <c r="C25" s="8"/>
      <c r="D25" s="57" t="s">
        <v>720</v>
      </c>
      <c r="E25" s="8"/>
      <c r="F25" s="93"/>
      <c r="G25" s="136"/>
      <c r="H25" s="155"/>
      <c r="I25" s="8"/>
      <c r="J25" s="8"/>
      <c r="K25" s="123"/>
      <c r="L25" s="8"/>
      <c r="M25" s="8"/>
    </row>
    <row r="26" spans="2:15" x14ac:dyDescent="0.25">
      <c r="B26" s="8"/>
      <c r="C26" s="8"/>
      <c r="D26" s="13" t="s">
        <v>1117</v>
      </c>
      <c r="E26" s="8" t="s">
        <v>728</v>
      </c>
      <c r="F26" s="93">
        <v>0.64200000000000002</v>
      </c>
      <c r="G26" s="136">
        <v>0.64200000000000002</v>
      </c>
      <c r="H26" s="155">
        <v>2</v>
      </c>
      <c r="I26" s="156" t="s">
        <v>1005</v>
      </c>
      <c r="J26" s="183">
        <v>0.64200000000000002</v>
      </c>
      <c r="K26" s="55"/>
      <c r="L26" s="8" t="s">
        <v>957</v>
      </c>
      <c r="M26" s="8"/>
    </row>
    <row r="27" spans="2:15" x14ac:dyDescent="0.25">
      <c r="B27" s="8"/>
      <c r="C27" s="8"/>
      <c r="D27" s="13" t="s">
        <v>33</v>
      </c>
      <c r="E27" s="8" t="s">
        <v>729</v>
      </c>
      <c r="F27" s="93">
        <v>0.625</v>
      </c>
      <c r="G27" s="136">
        <v>0.625</v>
      </c>
      <c r="H27" s="155">
        <v>2</v>
      </c>
      <c r="I27" s="156" t="s">
        <v>1005</v>
      </c>
      <c r="J27" s="183">
        <v>0.625</v>
      </c>
      <c r="K27" s="55"/>
      <c r="L27" s="8" t="s">
        <v>957</v>
      </c>
      <c r="M27" s="8"/>
    </row>
    <row r="28" spans="2:15" x14ac:dyDescent="0.25">
      <c r="B28" s="8"/>
      <c r="C28" s="8"/>
      <c r="D28" s="13" t="s">
        <v>1143</v>
      </c>
      <c r="E28" s="8" t="s">
        <v>730</v>
      </c>
      <c r="F28" s="93">
        <v>0.53200000000000003</v>
      </c>
      <c r="G28" s="136">
        <v>0.53200000000000003</v>
      </c>
      <c r="H28" s="155">
        <v>2</v>
      </c>
      <c r="I28" s="156" t="s">
        <v>1005</v>
      </c>
      <c r="J28" s="183">
        <v>0.53200000000000003</v>
      </c>
      <c r="K28" s="55"/>
      <c r="L28" s="8" t="s">
        <v>957</v>
      </c>
      <c r="M28" s="8"/>
    </row>
    <row r="29" spans="2:15" x14ac:dyDescent="0.25">
      <c r="B29" s="8"/>
      <c r="C29" s="8"/>
      <c r="D29" s="13" t="s">
        <v>148</v>
      </c>
      <c r="E29" s="8"/>
      <c r="F29" s="51">
        <v>0.4</v>
      </c>
      <c r="G29" s="51">
        <v>0.4</v>
      </c>
      <c r="H29" s="155">
        <v>2</v>
      </c>
      <c r="I29" s="156" t="s">
        <v>1005</v>
      </c>
      <c r="J29" s="51">
        <v>0.4</v>
      </c>
      <c r="K29" s="55"/>
      <c r="L29" s="8" t="s">
        <v>957</v>
      </c>
      <c r="M29" s="8"/>
    </row>
    <row r="30" spans="2:15" x14ac:dyDescent="0.25">
      <c r="B30" s="8"/>
      <c r="C30" s="8"/>
      <c r="D30" s="8"/>
      <c r="E30" s="93" t="s">
        <v>89</v>
      </c>
      <c r="F30" s="43">
        <f>SUM(F26:F29)</f>
        <v>2.1989999999999998</v>
      </c>
      <c r="G30" s="43">
        <f>SUM(G26:G29)</f>
        <v>2.1989999999999998</v>
      </c>
      <c r="H30" s="155"/>
      <c r="I30" s="8"/>
      <c r="J30" s="8"/>
      <c r="K30" s="123"/>
      <c r="L30" s="8"/>
      <c r="M30" s="8"/>
    </row>
    <row r="31" spans="2:15" x14ac:dyDescent="0.25">
      <c r="B31" s="8"/>
      <c r="C31" s="8"/>
      <c r="D31" s="34" t="s">
        <v>731</v>
      </c>
      <c r="E31" s="8" t="s">
        <v>732</v>
      </c>
      <c r="F31" s="52">
        <v>6.3150000000000004</v>
      </c>
      <c r="G31" s="52">
        <v>6.3150000000000004</v>
      </c>
      <c r="H31" s="155" t="s">
        <v>1004</v>
      </c>
      <c r="I31" s="156" t="s">
        <v>1006</v>
      </c>
      <c r="J31" s="163"/>
      <c r="K31" s="55">
        <v>6.3150000000000004</v>
      </c>
      <c r="L31" s="8" t="s">
        <v>958</v>
      </c>
      <c r="M31" s="8"/>
    </row>
    <row r="32" spans="2:15" x14ac:dyDescent="0.25">
      <c r="B32" s="8"/>
      <c r="C32" s="8"/>
      <c r="D32" s="57" t="s">
        <v>733</v>
      </c>
      <c r="E32" s="8"/>
      <c r="F32" s="93"/>
      <c r="G32" s="136"/>
      <c r="H32" s="155"/>
      <c r="I32" s="8"/>
      <c r="J32" s="8"/>
      <c r="K32" s="123"/>
      <c r="L32" s="8"/>
      <c r="M32" s="8"/>
    </row>
    <row r="33" spans="2:13" x14ac:dyDescent="0.25">
      <c r="B33" s="8"/>
      <c r="C33" s="8"/>
      <c r="D33" s="13" t="s">
        <v>1144</v>
      </c>
      <c r="E33" s="8" t="s">
        <v>734</v>
      </c>
      <c r="F33" s="93">
        <v>0.58499999999999996</v>
      </c>
      <c r="G33" s="136">
        <v>0.58499999999999996</v>
      </c>
      <c r="H33" s="155">
        <v>2</v>
      </c>
      <c r="I33" s="156" t="s">
        <v>1005</v>
      </c>
      <c r="J33" s="183">
        <v>0.58499999999999996</v>
      </c>
      <c r="K33" s="55"/>
      <c r="L33" s="8" t="s">
        <v>957</v>
      </c>
      <c r="M33" s="8"/>
    </row>
    <row r="34" spans="2:13" x14ac:dyDescent="0.25">
      <c r="B34" s="8"/>
      <c r="C34" s="8"/>
      <c r="D34" s="13" t="s">
        <v>371</v>
      </c>
      <c r="E34" s="8" t="s">
        <v>735</v>
      </c>
      <c r="F34" s="93">
        <v>0.21199999999999999</v>
      </c>
      <c r="G34" s="136">
        <v>0.21199999999999999</v>
      </c>
      <c r="H34" s="155">
        <v>2</v>
      </c>
      <c r="I34" s="156" t="s">
        <v>1005</v>
      </c>
      <c r="J34" s="183">
        <v>0.21199999999999999</v>
      </c>
      <c r="K34" s="55"/>
      <c r="L34" s="8" t="s">
        <v>957</v>
      </c>
      <c r="M34" s="8"/>
    </row>
    <row r="35" spans="2:13" x14ac:dyDescent="0.25">
      <c r="B35" s="8"/>
      <c r="C35" s="8"/>
      <c r="D35" s="13" t="s">
        <v>1143</v>
      </c>
      <c r="E35" s="8" t="s">
        <v>734</v>
      </c>
      <c r="F35" s="93">
        <v>0.61799999999999999</v>
      </c>
      <c r="G35" s="136">
        <v>0.61799999999999999</v>
      </c>
      <c r="H35" s="155">
        <v>2</v>
      </c>
      <c r="I35" s="156" t="s">
        <v>1005</v>
      </c>
      <c r="J35" s="183">
        <v>0.61799999999999999</v>
      </c>
      <c r="K35" s="55"/>
      <c r="L35" s="8" t="s">
        <v>957</v>
      </c>
      <c r="M35" s="8"/>
    </row>
    <row r="36" spans="2:13" x14ac:dyDescent="0.25">
      <c r="B36" s="8"/>
      <c r="C36" s="8"/>
      <c r="D36" s="13" t="s">
        <v>148</v>
      </c>
      <c r="E36" s="8"/>
      <c r="F36" s="51">
        <v>0.26500000000000001</v>
      </c>
      <c r="G36" s="51">
        <v>0.26500000000000001</v>
      </c>
      <c r="H36" s="155">
        <v>2</v>
      </c>
      <c r="I36" s="156" t="s">
        <v>1005</v>
      </c>
      <c r="J36" s="51">
        <v>0.26500000000000001</v>
      </c>
      <c r="K36" s="55"/>
      <c r="L36" s="8" t="s">
        <v>957</v>
      </c>
      <c r="M36" s="8"/>
    </row>
    <row r="37" spans="2:13" x14ac:dyDescent="0.25">
      <c r="B37" s="8"/>
      <c r="C37" s="8"/>
      <c r="D37" s="8"/>
      <c r="E37" s="93" t="s">
        <v>89</v>
      </c>
      <c r="F37" s="43">
        <f>SUM(F33:F36)</f>
        <v>1.6800000000000002</v>
      </c>
      <c r="G37" s="43">
        <f>SUM(G33:G36)</f>
        <v>1.6800000000000002</v>
      </c>
      <c r="H37" s="155"/>
      <c r="I37" s="8"/>
      <c r="J37" s="8"/>
      <c r="K37" s="123"/>
      <c r="L37" s="8"/>
      <c r="M37" s="8"/>
    </row>
    <row r="38" spans="2:13" x14ac:dyDescent="0.25">
      <c r="B38" s="8"/>
      <c r="C38" s="8"/>
      <c r="D38" s="34" t="s">
        <v>736</v>
      </c>
      <c r="E38" s="8" t="s">
        <v>737</v>
      </c>
      <c r="F38" s="52">
        <v>7.8209999999999997</v>
      </c>
      <c r="G38" s="52">
        <v>7.8209999999999997</v>
      </c>
      <c r="H38" s="155">
        <v>2</v>
      </c>
      <c r="I38" s="156" t="s">
        <v>1005</v>
      </c>
      <c r="J38" s="163"/>
      <c r="K38" s="55">
        <v>7.8209999999999997</v>
      </c>
      <c r="L38" s="8" t="s">
        <v>957</v>
      </c>
      <c r="M38" s="8"/>
    </row>
    <row r="39" spans="2:13" x14ac:dyDescent="0.25">
      <c r="B39" s="8"/>
      <c r="C39" s="8"/>
      <c r="D39" s="57" t="s">
        <v>738</v>
      </c>
      <c r="E39" s="8"/>
      <c r="F39" s="93"/>
      <c r="G39" s="136"/>
      <c r="H39" s="155"/>
      <c r="I39" s="8"/>
      <c r="J39" s="8"/>
      <c r="K39" s="123"/>
      <c r="L39" s="8"/>
      <c r="M39" s="8"/>
    </row>
    <row r="40" spans="2:13" x14ac:dyDescent="0.25">
      <c r="B40" s="8"/>
      <c r="C40" s="8"/>
      <c r="D40" s="13" t="s">
        <v>1120</v>
      </c>
      <c r="E40" s="8" t="s">
        <v>739</v>
      </c>
      <c r="F40" s="93">
        <v>0.58499999999999996</v>
      </c>
      <c r="G40" s="136">
        <v>0.58499999999999996</v>
      </c>
      <c r="H40" s="155">
        <v>2</v>
      </c>
      <c r="I40" s="156" t="s">
        <v>1005</v>
      </c>
      <c r="J40" s="183">
        <v>0.58499999999999996</v>
      </c>
      <c r="K40" s="55"/>
      <c r="L40" s="8" t="s">
        <v>957</v>
      </c>
      <c r="M40" s="8"/>
    </row>
    <row r="41" spans="2:13" x14ac:dyDescent="0.25">
      <c r="B41" s="8"/>
      <c r="C41" s="8"/>
      <c r="D41" s="13" t="s">
        <v>33</v>
      </c>
      <c r="E41" s="8" t="s">
        <v>740</v>
      </c>
      <c r="F41" s="93">
        <v>0.438</v>
      </c>
      <c r="G41" s="136">
        <v>0.438</v>
      </c>
      <c r="H41" s="155">
        <v>2</v>
      </c>
      <c r="I41" s="156" t="s">
        <v>1005</v>
      </c>
      <c r="J41" s="183">
        <v>0.438</v>
      </c>
      <c r="K41" s="55"/>
      <c r="L41" s="8" t="s">
        <v>957</v>
      </c>
      <c r="M41" s="8"/>
    </row>
    <row r="42" spans="2:13" x14ac:dyDescent="0.25">
      <c r="B42" s="8"/>
      <c r="C42" s="8"/>
      <c r="D42" s="13" t="s">
        <v>34</v>
      </c>
      <c r="E42" s="8" t="s">
        <v>741</v>
      </c>
      <c r="F42" s="93">
        <v>0.47699999999999998</v>
      </c>
      <c r="G42" s="136">
        <v>0.47699999999999998</v>
      </c>
      <c r="H42" s="155">
        <v>2</v>
      </c>
      <c r="I42" s="156" t="s">
        <v>1005</v>
      </c>
      <c r="J42" s="183">
        <v>0.47699999999999998</v>
      </c>
      <c r="K42" s="55"/>
      <c r="L42" s="8" t="s">
        <v>957</v>
      </c>
      <c r="M42" s="8"/>
    </row>
    <row r="43" spans="2:13" x14ac:dyDescent="0.25">
      <c r="B43" s="8"/>
      <c r="C43" s="8"/>
      <c r="D43" s="13" t="s">
        <v>1143</v>
      </c>
      <c r="E43" s="8" t="s">
        <v>742</v>
      </c>
      <c r="F43" s="93">
        <v>0.39800000000000002</v>
      </c>
      <c r="G43" s="136">
        <v>0.39800000000000002</v>
      </c>
      <c r="H43" s="155">
        <v>2</v>
      </c>
      <c r="I43" s="156" t="s">
        <v>1005</v>
      </c>
      <c r="J43" s="183">
        <v>0.39800000000000002</v>
      </c>
      <c r="K43" s="55"/>
      <c r="L43" s="8" t="s">
        <v>957</v>
      </c>
      <c r="M43" s="8"/>
    </row>
    <row r="44" spans="2:13" x14ac:dyDescent="0.25">
      <c r="B44" s="8"/>
      <c r="C44" s="8"/>
      <c r="D44" s="13" t="s">
        <v>148</v>
      </c>
      <c r="E44" s="8"/>
      <c r="F44" s="51">
        <v>0.59199999999999997</v>
      </c>
      <c r="G44" s="51">
        <v>0.59199999999999997</v>
      </c>
      <c r="H44" s="155">
        <v>2</v>
      </c>
      <c r="I44" s="156" t="s">
        <v>1005</v>
      </c>
      <c r="J44" s="51">
        <v>0.59199999999999997</v>
      </c>
      <c r="K44" s="55"/>
      <c r="L44" s="8" t="s">
        <v>957</v>
      </c>
      <c r="M44" s="8"/>
    </row>
    <row r="45" spans="2:13" x14ac:dyDescent="0.25">
      <c r="B45" s="8"/>
      <c r="C45" s="8"/>
      <c r="D45" s="8"/>
      <c r="E45" s="93" t="s">
        <v>89</v>
      </c>
      <c r="F45" s="43">
        <f>SUM(F40:F44)</f>
        <v>2.4900000000000002</v>
      </c>
      <c r="G45" s="43">
        <f>SUM(G40:G44)</f>
        <v>2.4900000000000002</v>
      </c>
      <c r="H45" s="8"/>
      <c r="I45" s="8"/>
      <c r="J45" s="8"/>
      <c r="K45" s="8"/>
      <c r="L45" s="8"/>
      <c r="M45" s="8"/>
    </row>
    <row r="47" spans="2:13" x14ac:dyDescent="0.25">
      <c r="B47" s="129" t="s">
        <v>30</v>
      </c>
      <c r="C47" s="129"/>
      <c r="D47" s="129"/>
      <c r="E47" s="129"/>
      <c r="F47" s="129"/>
      <c r="G47" s="129"/>
      <c r="H47" s="129"/>
      <c r="I47" s="129"/>
      <c r="J47" s="129"/>
      <c r="K47" s="129"/>
      <c r="L47" s="129"/>
      <c r="M47" s="129"/>
    </row>
    <row r="49" spans="2:13" ht="15.75" thickBot="1" x14ac:dyDescent="0.3"/>
    <row r="50" spans="2:13" ht="19.5" thickBot="1" x14ac:dyDescent="0.3">
      <c r="B50" s="349" t="s">
        <v>18</v>
      </c>
      <c r="C50" s="350"/>
      <c r="D50" s="350"/>
      <c r="E50" s="350"/>
      <c r="F50" s="350"/>
      <c r="G50" s="350"/>
      <c r="H50" s="350"/>
      <c r="I50" s="350"/>
      <c r="J50" s="350"/>
      <c r="K50" s="350"/>
      <c r="L50" s="350"/>
      <c r="M50" s="351"/>
    </row>
    <row r="51" spans="2:13" x14ac:dyDescent="0.25">
      <c r="B51" s="357" t="s">
        <v>19</v>
      </c>
      <c r="C51" s="355"/>
      <c r="D51" s="355"/>
      <c r="E51" s="355"/>
      <c r="F51" s="355"/>
      <c r="G51" s="355"/>
      <c r="H51" s="355"/>
      <c r="I51" s="355" t="s">
        <v>1003</v>
      </c>
      <c r="J51" s="355"/>
      <c r="K51" s="355"/>
      <c r="L51" s="355"/>
      <c r="M51" s="356"/>
    </row>
    <row r="52" spans="2:13" x14ac:dyDescent="0.25">
      <c r="B52" s="352"/>
      <c r="C52" s="353"/>
      <c r="D52" s="353"/>
      <c r="E52" s="353"/>
      <c r="F52" s="353"/>
      <c r="G52" s="353"/>
      <c r="H52" s="353"/>
      <c r="I52" s="353"/>
      <c r="J52" s="353"/>
      <c r="K52" s="353"/>
      <c r="L52" s="353"/>
      <c r="M52" s="354"/>
    </row>
    <row r="53" spans="2:13" ht="15.75" thickBot="1" x14ac:dyDescent="0.3">
      <c r="B53" s="358" t="s">
        <v>28</v>
      </c>
      <c r="C53" s="359"/>
      <c r="D53" s="359"/>
      <c r="E53" s="359" t="s">
        <v>96</v>
      </c>
      <c r="F53" s="359"/>
      <c r="G53" s="359"/>
      <c r="H53" s="359"/>
      <c r="I53" s="359"/>
      <c r="J53" s="359" t="s">
        <v>97</v>
      </c>
      <c r="K53" s="359"/>
      <c r="L53" s="359"/>
      <c r="M53" s="360"/>
    </row>
    <row r="54" spans="2:13" ht="30" customHeight="1" thickBot="1" x14ac:dyDescent="0.3">
      <c r="B54" s="18" t="s">
        <v>12</v>
      </c>
      <c r="C54" s="19" t="s">
        <v>13</v>
      </c>
      <c r="D54" s="19" t="s">
        <v>63</v>
      </c>
      <c r="E54" s="19" t="s">
        <v>64</v>
      </c>
      <c r="F54" s="137" t="s">
        <v>998</v>
      </c>
      <c r="G54" s="137" t="s">
        <v>999</v>
      </c>
      <c r="H54" s="19" t="s">
        <v>14</v>
      </c>
      <c r="I54" s="19" t="s">
        <v>15</v>
      </c>
      <c r="J54" s="19" t="s">
        <v>1102</v>
      </c>
      <c r="K54" s="19" t="s">
        <v>1103</v>
      </c>
      <c r="L54" s="19" t="s">
        <v>16</v>
      </c>
      <c r="M54" s="20" t="s">
        <v>17</v>
      </c>
    </row>
    <row r="55" spans="2:13" x14ac:dyDescent="0.25">
      <c r="B55" s="9"/>
      <c r="C55" s="9"/>
      <c r="D55" s="48" t="s">
        <v>744</v>
      </c>
      <c r="E55" s="9"/>
      <c r="F55" s="9"/>
      <c r="G55" s="9"/>
      <c r="H55" s="9"/>
      <c r="I55" s="9"/>
      <c r="J55" s="9"/>
      <c r="K55" s="9"/>
      <c r="L55" s="9"/>
      <c r="M55" s="9"/>
    </row>
    <row r="56" spans="2:13" x14ac:dyDescent="0.25">
      <c r="B56" s="8"/>
      <c r="C56" s="8"/>
      <c r="D56" s="34" t="s">
        <v>745</v>
      </c>
      <c r="E56" s="8" t="s">
        <v>746</v>
      </c>
      <c r="F56" s="52">
        <v>4.7869999999999999</v>
      </c>
      <c r="G56" s="52">
        <v>4.7869999999999999</v>
      </c>
      <c r="H56" s="155" t="s">
        <v>1004</v>
      </c>
      <c r="I56" s="156" t="s">
        <v>1005</v>
      </c>
      <c r="J56" s="163"/>
      <c r="K56" s="55">
        <v>4.7869999999999999</v>
      </c>
      <c r="L56" s="8" t="s">
        <v>957</v>
      </c>
      <c r="M56" s="8"/>
    </row>
    <row r="57" spans="2:13" x14ac:dyDescent="0.25">
      <c r="B57" s="8"/>
      <c r="C57" s="8"/>
      <c r="D57" s="57" t="s">
        <v>747</v>
      </c>
      <c r="E57" s="8"/>
      <c r="F57" s="93"/>
      <c r="G57" s="136"/>
      <c r="H57" s="155"/>
      <c r="I57" s="8"/>
      <c r="J57" s="8"/>
      <c r="K57" s="123"/>
      <c r="L57" s="8"/>
      <c r="M57" s="8"/>
    </row>
    <row r="58" spans="2:13" x14ac:dyDescent="0.25">
      <c r="B58" s="8"/>
      <c r="C58" s="8"/>
      <c r="D58" s="13" t="s">
        <v>1145</v>
      </c>
      <c r="E58" s="8" t="s">
        <v>748</v>
      </c>
      <c r="F58" s="93">
        <v>0.59199999999999997</v>
      </c>
      <c r="G58" s="136">
        <v>0.59199999999999997</v>
      </c>
      <c r="H58" s="155">
        <v>2</v>
      </c>
      <c r="I58" s="156" t="s">
        <v>1005</v>
      </c>
      <c r="J58" s="183">
        <v>0.59199999999999997</v>
      </c>
      <c r="K58" s="55"/>
      <c r="L58" s="8" t="s">
        <v>957</v>
      </c>
      <c r="M58" s="8"/>
    </row>
    <row r="59" spans="2:13" x14ac:dyDescent="0.25">
      <c r="B59" s="8"/>
      <c r="C59" s="8"/>
      <c r="D59" s="13" t="s">
        <v>33</v>
      </c>
      <c r="E59" s="8" t="s">
        <v>748</v>
      </c>
      <c r="F59" s="93">
        <v>0.625</v>
      </c>
      <c r="G59" s="136">
        <v>0.625</v>
      </c>
      <c r="H59" s="155">
        <v>2</v>
      </c>
      <c r="I59" s="156" t="s">
        <v>1005</v>
      </c>
      <c r="J59" s="183">
        <v>0.625</v>
      </c>
      <c r="K59" s="55"/>
      <c r="L59" s="8" t="s">
        <v>957</v>
      </c>
      <c r="M59" s="8"/>
    </row>
    <row r="60" spans="2:13" x14ac:dyDescent="0.25">
      <c r="B60" s="8"/>
      <c r="C60" s="8"/>
      <c r="D60" s="13" t="s">
        <v>1146</v>
      </c>
      <c r="E60" s="8" t="s">
        <v>749</v>
      </c>
      <c r="F60" s="93">
        <v>0.187</v>
      </c>
      <c r="G60" s="136">
        <v>0.187</v>
      </c>
      <c r="H60" s="155">
        <v>2</v>
      </c>
      <c r="I60" s="156" t="s">
        <v>1005</v>
      </c>
      <c r="J60" s="183">
        <v>0.187</v>
      </c>
      <c r="K60" s="55"/>
      <c r="L60" s="8" t="s">
        <v>957</v>
      </c>
      <c r="M60" s="8"/>
    </row>
    <row r="61" spans="2:13" x14ac:dyDescent="0.25">
      <c r="B61" s="8"/>
      <c r="C61" s="8"/>
      <c r="D61" s="13" t="s">
        <v>35</v>
      </c>
      <c r="E61" s="8" t="s">
        <v>750</v>
      </c>
      <c r="F61" s="51">
        <v>0.09</v>
      </c>
      <c r="G61" s="51">
        <v>0.09</v>
      </c>
      <c r="H61" s="155">
        <v>2</v>
      </c>
      <c r="I61" s="156" t="s">
        <v>1005</v>
      </c>
      <c r="J61" s="51">
        <v>0.09</v>
      </c>
      <c r="K61" s="55"/>
      <c r="L61" s="8" t="s">
        <v>957</v>
      </c>
      <c r="M61" s="8" t="s">
        <v>1039</v>
      </c>
    </row>
    <row r="62" spans="2:13" x14ac:dyDescent="0.25">
      <c r="B62" s="8"/>
      <c r="C62" s="8"/>
      <c r="D62" s="13" t="s">
        <v>148</v>
      </c>
      <c r="E62" s="8"/>
      <c r="F62" s="51">
        <v>0.314</v>
      </c>
      <c r="G62" s="51">
        <v>0.314</v>
      </c>
      <c r="H62" s="155">
        <v>2</v>
      </c>
      <c r="I62" s="156" t="s">
        <v>1005</v>
      </c>
      <c r="J62" s="51">
        <v>0.314</v>
      </c>
      <c r="K62" s="55"/>
      <c r="L62" s="8" t="s">
        <v>957</v>
      </c>
      <c r="M62" s="8"/>
    </row>
    <row r="63" spans="2:13" x14ac:dyDescent="0.25">
      <c r="B63" s="8"/>
      <c r="C63" s="8"/>
      <c r="D63" s="8"/>
      <c r="E63" s="93" t="s">
        <v>89</v>
      </c>
      <c r="F63" s="43">
        <f>SUM(F58:F62)</f>
        <v>1.8080000000000003</v>
      </c>
      <c r="G63" s="43">
        <f>SUM(G58:G62)</f>
        <v>1.8080000000000003</v>
      </c>
      <c r="H63" s="155"/>
      <c r="I63" s="8"/>
      <c r="J63" s="8"/>
      <c r="K63" s="123"/>
      <c r="L63" s="8"/>
      <c r="M63" s="8"/>
    </row>
    <row r="64" spans="2:13" x14ac:dyDescent="0.25">
      <c r="B64" s="8"/>
      <c r="C64" s="8"/>
      <c r="D64" s="34" t="s">
        <v>751</v>
      </c>
      <c r="E64" s="8" t="s">
        <v>752</v>
      </c>
      <c r="F64" s="52">
        <v>2.9239999999999999</v>
      </c>
      <c r="G64" s="52">
        <v>2.9239999999999999</v>
      </c>
      <c r="H64" s="155">
        <v>2</v>
      </c>
      <c r="I64" s="156" t="s">
        <v>1005</v>
      </c>
      <c r="J64" s="163"/>
      <c r="K64" s="55">
        <v>2.9239999999999999</v>
      </c>
      <c r="L64" s="8" t="s">
        <v>957</v>
      </c>
      <c r="M64" s="8"/>
    </row>
    <row r="65" spans="2:13" x14ac:dyDescent="0.25">
      <c r="B65" s="8"/>
      <c r="C65" s="8"/>
      <c r="D65" s="57" t="s">
        <v>753</v>
      </c>
      <c r="E65" s="8"/>
      <c r="F65" s="93"/>
      <c r="G65" s="136"/>
      <c r="H65" s="155"/>
      <c r="I65" s="8"/>
      <c r="J65" s="8"/>
      <c r="K65" s="123"/>
      <c r="L65" s="8"/>
      <c r="M65" s="8"/>
    </row>
    <row r="66" spans="2:13" x14ac:dyDescent="0.25">
      <c r="B66" s="8"/>
      <c r="C66" s="8"/>
      <c r="D66" s="13" t="s">
        <v>1147</v>
      </c>
      <c r="E66" s="8" t="s">
        <v>754</v>
      </c>
      <c r="F66" s="93">
        <v>0.64100000000000001</v>
      </c>
      <c r="G66" s="136">
        <v>0.64100000000000001</v>
      </c>
      <c r="H66" s="155">
        <v>2</v>
      </c>
      <c r="I66" s="156" t="s">
        <v>1005</v>
      </c>
      <c r="J66" s="183">
        <v>0.64100000000000001</v>
      </c>
      <c r="K66" s="55"/>
      <c r="L66" s="8" t="s">
        <v>957</v>
      </c>
      <c r="M66" s="8"/>
    </row>
    <row r="67" spans="2:13" x14ac:dyDescent="0.25">
      <c r="B67" s="8"/>
      <c r="C67" s="8"/>
      <c r="D67" s="13" t="s">
        <v>33</v>
      </c>
      <c r="E67" s="8" t="s">
        <v>755</v>
      </c>
      <c r="F67" s="93">
        <v>0.53400000000000003</v>
      </c>
      <c r="G67" s="136">
        <v>0.53400000000000003</v>
      </c>
      <c r="H67" s="155">
        <v>2</v>
      </c>
      <c r="I67" s="156" t="s">
        <v>1005</v>
      </c>
      <c r="J67" s="183">
        <v>0.53400000000000003</v>
      </c>
      <c r="K67" s="55"/>
      <c r="L67" s="8" t="s">
        <v>957</v>
      </c>
      <c r="M67" s="8"/>
    </row>
    <row r="68" spans="2:13" x14ac:dyDescent="0.25">
      <c r="B68" s="8"/>
      <c r="C68" s="8"/>
      <c r="D68" s="13" t="s">
        <v>34</v>
      </c>
      <c r="E68" s="8" t="s">
        <v>756</v>
      </c>
      <c r="F68" s="93">
        <v>0.36199999999999999</v>
      </c>
      <c r="G68" s="136">
        <v>0.36199999999999999</v>
      </c>
      <c r="H68" s="155">
        <v>2</v>
      </c>
      <c r="I68" s="156" t="s">
        <v>1005</v>
      </c>
      <c r="J68" s="183">
        <v>0.36199999999999999</v>
      </c>
      <c r="K68" s="55"/>
      <c r="L68" s="8" t="s">
        <v>957</v>
      </c>
      <c r="M68" s="8"/>
    </row>
    <row r="69" spans="2:13" x14ac:dyDescent="0.25">
      <c r="B69" s="8"/>
      <c r="C69" s="8"/>
      <c r="D69" s="13" t="s">
        <v>37</v>
      </c>
      <c r="E69" s="8" t="s">
        <v>757</v>
      </c>
      <c r="F69" s="93">
        <v>0.254</v>
      </c>
      <c r="G69" s="136">
        <v>0.254</v>
      </c>
      <c r="H69" s="155">
        <v>2</v>
      </c>
      <c r="I69" s="156" t="s">
        <v>1005</v>
      </c>
      <c r="J69" s="183">
        <v>0.254</v>
      </c>
      <c r="K69" s="55"/>
      <c r="L69" s="8" t="s">
        <v>957</v>
      </c>
      <c r="M69" s="8"/>
    </row>
    <row r="70" spans="2:13" x14ac:dyDescent="0.25">
      <c r="B70" s="8"/>
      <c r="C70" s="8"/>
      <c r="D70" s="13" t="s">
        <v>1146</v>
      </c>
      <c r="E70" s="8" t="s">
        <v>758</v>
      </c>
      <c r="F70" s="51">
        <v>0.45</v>
      </c>
      <c r="G70" s="51">
        <v>0.45</v>
      </c>
      <c r="H70" s="155">
        <v>2</v>
      </c>
      <c r="I70" s="156" t="s">
        <v>1005</v>
      </c>
      <c r="J70" s="51">
        <v>0.45</v>
      </c>
      <c r="K70" s="55"/>
      <c r="L70" s="8" t="s">
        <v>957</v>
      </c>
      <c r="M70" s="8"/>
    </row>
    <row r="71" spans="2:13" x14ac:dyDescent="0.25">
      <c r="B71" s="8"/>
      <c r="C71" s="8"/>
      <c r="D71" s="13" t="s">
        <v>35</v>
      </c>
      <c r="E71" s="8" t="s">
        <v>759</v>
      </c>
      <c r="F71" s="93">
        <v>0.17699999999999999</v>
      </c>
      <c r="G71" s="136">
        <v>0.17699999999999999</v>
      </c>
      <c r="H71" s="155">
        <v>2</v>
      </c>
      <c r="I71" s="156" t="s">
        <v>1005</v>
      </c>
      <c r="J71" s="183">
        <v>0.17699999999999999</v>
      </c>
      <c r="K71" s="55"/>
      <c r="L71" s="8" t="s">
        <v>957</v>
      </c>
      <c r="M71" s="8"/>
    </row>
    <row r="72" spans="2:13" x14ac:dyDescent="0.25">
      <c r="B72" s="8"/>
      <c r="C72" s="8"/>
      <c r="D72" s="13" t="s">
        <v>760</v>
      </c>
      <c r="E72" s="8" t="s">
        <v>761</v>
      </c>
      <c r="F72" s="93">
        <v>0.19500000000000001</v>
      </c>
      <c r="G72" s="136">
        <v>0.19500000000000001</v>
      </c>
      <c r="H72" s="155">
        <v>2</v>
      </c>
      <c r="I72" s="156" t="s">
        <v>1005</v>
      </c>
      <c r="J72" s="183">
        <v>0.19500000000000001</v>
      </c>
      <c r="K72" s="55"/>
      <c r="L72" s="8" t="s">
        <v>957</v>
      </c>
      <c r="M72" s="8"/>
    </row>
    <row r="73" spans="2:13" x14ac:dyDescent="0.25">
      <c r="B73" s="8"/>
      <c r="C73" s="8"/>
      <c r="D73" s="13" t="s">
        <v>762</v>
      </c>
      <c r="E73" s="8" t="s">
        <v>763</v>
      </c>
      <c r="F73" s="93">
        <v>9.7000000000000003E-2</v>
      </c>
      <c r="G73" s="136">
        <v>9.7000000000000003E-2</v>
      </c>
      <c r="H73" s="155">
        <v>2</v>
      </c>
      <c r="I73" s="156" t="s">
        <v>1005</v>
      </c>
      <c r="J73" s="183">
        <v>9.7000000000000003E-2</v>
      </c>
      <c r="K73" s="55"/>
      <c r="L73" s="8" t="s">
        <v>957</v>
      </c>
      <c r="M73" s="8"/>
    </row>
    <row r="74" spans="2:13" x14ac:dyDescent="0.25">
      <c r="B74" s="8"/>
      <c r="C74" s="8"/>
      <c r="D74" s="13" t="s">
        <v>148</v>
      </c>
      <c r="E74" s="8"/>
      <c r="F74" s="55">
        <v>1.0960000000000001</v>
      </c>
      <c r="G74" s="55">
        <v>1.0960000000000001</v>
      </c>
      <c r="H74" s="155">
        <v>2</v>
      </c>
      <c r="I74" s="156" t="s">
        <v>1005</v>
      </c>
      <c r="J74" s="55">
        <v>1.0960000000000001</v>
      </c>
      <c r="K74" s="55"/>
      <c r="L74" s="8" t="s">
        <v>957</v>
      </c>
      <c r="M74" s="8"/>
    </row>
    <row r="75" spans="2:13" x14ac:dyDescent="0.25">
      <c r="B75" s="8"/>
      <c r="C75" s="8"/>
      <c r="D75" s="8"/>
      <c r="E75" s="93" t="s">
        <v>89</v>
      </c>
      <c r="F75" s="43">
        <f>SUM(F66:F74)</f>
        <v>3.806</v>
      </c>
      <c r="G75" s="43">
        <f>SUM(G66:G74)</f>
        <v>3.806</v>
      </c>
      <c r="H75" s="155"/>
      <c r="I75" s="8"/>
      <c r="J75" s="8"/>
      <c r="K75" s="123"/>
      <c r="L75" s="8"/>
      <c r="M75" s="8"/>
    </row>
    <row r="76" spans="2:13" x14ac:dyDescent="0.25">
      <c r="B76" s="8"/>
      <c r="C76" s="8"/>
      <c r="D76" s="34" t="s">
        <v>764</v>
      </c>
      <c r="E76" s="8" t="s">
        <v>765</v>
      </c>
      <c r="F76" s="52">
        <v>4.2009999999999996</v>
      </c>
      <c r="G76" s="52">
        <v>4.2009999999999996</v>
      </c>
      <c r="H76" s="155" t="s">
        <v>1004</v>
      </c>
      <c r="I76" s="156" t="s">
        <v>1006</v>
      </c>
      <c r="J76" s="163"/>
      <c r="K76" s="55">
        <v>4.2009999999999996</v>
      </c>
      <c r="L76" s="8" t="s">
        <v>958</v>
      </c>
      <c r="M76" s="8"/>
    </row>
    <row r="77" spans="2:13" x14ac:dyDescent="0.25">
      <c r="B77" s="8"/>
      <c r="C77" s="8"/>
      <c r="D77" s="8"/>
      <c r="E77" s="8"/>
      <c r="F77" s="8"/>
      <c r="G77" s="8"/>
      <c r="H77" s="155"/>
      <c r="I77" s="8"/>
      <c r="J77" s="8"/>
      <c r="K77" s="123"/>
      <c r="L77" s="8"/>
      <c r="M77" s="8"/>
    </row>
    <row r="78" spans="2:13" x14ac:dyDescent="0.25">
      <c r="B78" s="8"/>
      <c r="C78" s="8"/>
      <c r="D78" s="48" t="s">
        <v>766</v>
      </c>
      <c r="E78" s="8"/>
      <c r="F78" s="8"/>
      <c r="G78" s="8"/>
      <c r="H78" s="155"/>
      <c r="I78" s="8"/>
      <c r="J78" s="8"/>
      <c r="K78" s="123"/>
      <c r="L78" s="8"/>
      <c r="M78" s="8"/>
    </row>
    <row r="79" spans="2:13" x14ac:dyDescent="0.25">
      <c r="B79" s="8"/>
      <c r="C79" s="8"/>
      <c r="D79" s="34" t="s">
        <v>916</v>
      </c>
      <c r="E79" s="8" t="s">
        <v>917</v>
      </c>
      <c r="F79" s="43">
        <v>10.483000000000001</v>
      </c>
      <c r="G79" s="43">
        <v>10.483000000000001</v>
      </c>
      <c r="H79" s="155" t="s">
        <v>1004</v>
      </c>
      <c r="I79" s="156" t="s">
        <v>1006</v>
      </c>
      <c r="J79" s="163"/>
      <c r="K79" s="46">
        <v>10.483000000000001</v>
      </c>
      <c r="L79" s="8" t="s">
        <v>958</v>
      </c>
      <c r="M79" s="58"/>
    </row>
    <row r="80" spans="2:13" x14ac:dyDescent="0.25">
      <c r="B80" s="8"/>
      <c r="C80" s="8"/>
      <c r="D80" s="57" t="s">
        <v>767</v>
      </c>
      <c r="E80" s="8"/>
      <c r="F80" s="93"/>
      <c r="G80" s="136"/>
      <c r="H80" s="155"/>
      <c r="I80" s="8"/>
      <c r="J80" s="8"/>
      <c r="K80" s="123"/>
      <c r="L80" s="8"/>
      <c r="M80" s="8"/>
    </row>
    <row r="81" spans="2:15" x14ac:dyDescent="0.25">
      <c r="B81" s="8"/>
      <c r="C81" s="8"/>
      <c r="D81" s="13" t="s">
        <v>1148</v>
      </c>
      <c r="E81" s="8" t="s">
        <v>920</v>
      </c>
      <c r="F81" s="179">
        <v>0.48899999999999999</v>
      </c>
      <c r="G81" s="179">
        <v>0.48899999999999999</v>
      </c>
      <c r="H81" s="155">
        <v>2</v>
      </c>
      <c r="I81" s="156" t="s">
        <v>1005</v>
      </c>
      <c r="J81" s="183">
        <v>0.48899999999999999</v>
      </c>
      <c r="K81" s="55"/>
      <c r="L81" s="8" t="s">
        <v>957</v>
      </c>
      <c r="M81" s="58"/>
    </row>
    <row r="82" spans="2:15" x14ac:dyDescent="0.25">
      <c r="B82" s="8"/>
      <c r="C82" s="8"/>
      <c r="D82" s="13" t="s">
        <v>33</v>
      </c>
      <c r="E82" s="8" t="s">
        <v>921</v>
      </c>
      <c r="F82" s="179">
        <v>0.371</v>
      </c>
      <c r="G82" s="179">
        <v>0.371</v>
      </c>
      <c r="H82" s="155">
        <v>2</v>
      </c>
      <c r="I82" s="156" t="s">
        <v>1005</v>
      </c>
      <c r="J82" s="183">
        <v>0.371</v>
      </c>
      <c r="K82" s="55"/>
      <c r="L82" s="8" t="s">
        <v>957</v>
      </c>
      <c r="M82" s="58"/>
    </row>
    <row r="83" spans="2:15" x14ac:dyDescent="0.25">
      <c r="B83" s="8"/>
      <c r="C83" s="8"/>
      <c r="D83" s="13" t="s">
        <v>922</v>
      </c>
      <c r="E83" s="8" t="s">
        <v>923</v>
      </c>
      <c r="F83" s="179">
        <v>0.14799999999999999</v>
      </c>
      <c r="G83" s="179">
        <v>0.14799999999999999</v>
      </c>
      <c r="H83" s="155">
        <v>2</v>
      </c>
      <c r="I83" s="156" t="s">
        <v>1005</v>
      </c>
      <c r="J83" s="183">
        <v>0.14799999999999999</v>
      </c>
      <c r="K83" s="55"/>
      <c r="L83" s="8" t="s">
        <v>957</v>
      </c>
      <c r="M83" s="58"/>
    </row>
    <row r="84" spans="2:15" x14ac:dyDescent="0.25">
      <c r="B84" s="8"/>
      <c r="C84" s="8"/>
      <c r="D84" s="13" t="s">
        <v>1146</v>
      </c>
      <c r="E84" s="8" t="s">
        <v>924</v>
      </c>
      <c r="F84" s="179">
        <v>0.46300000000000002</v>
      </c>
      <c r="G84" s="179">
        <v>0.46300000000000002</v>
      </c>
      <c r="H84" s="155">
        <v>2</v>
      </c>
      <c r="I84" s="156" t="s">
        <v>1005</v>
      </c>
      <c r="J84" s="183">
        <v>0.46300000000000002</v>
      </c>
      <c r="K84" s="55"/>
      <c r="L84" s="8" t="s">
        <v>957</v>
      </c>
      <c r="M84" s="58"/>
    </row>
    <row r="85" spans="2:15" x14ac:dyDescent="0.25">
      <c r="B85" s="8"/>
      <c r="C85" s="8"/>
      <c r="D85" s="13" t="s">
        <v>35</v>
      </c>
      <c r="E85" s="8" t="s">
        <v>924</v>
      </c>
      <c r="F85" s="179">
        <v>0.46300000000000002</v>
      </c>
      <c r="G85" s="179">
        <v>0.46300000000000002</v>
      </c>
      <c r="H85" s="155">
        <v>2</v>
      </c>
      <c r="I85" s="156" t="s">
        <v>1005</v>
      </c>
      <c r="J85" s="183">
        <v>0.46300000000000002</v>
      </c>
      <c r="K85" s="55"/>
      <c r="L85" s="8" t="s">
        <v>957</v>
      </c>
      <c r="M85" s="58"/>
      <c r="O85" s="134"/>
    </row>
    <row r="86" spans="2:15" x14ac:dyDescent="0.25">
      <c r="B86" s="8"/>
      <c r="C86" s="8"/>
      <c r="D86" s="13" t="s">
        <v>148</v>
      </c>
      <c r="E86" s="8"/>
      <c r="F86" s="83">
        <v>0.61</v>
      </c>
      <c r="G86" s="83">
        <v>0.61</v>
      </c>
      <c r="H86" s="155">
        <v>2</v>
      </c>
      <c r="I86" s="156" t="s">
        <v>1005</v>
      </c>
      <c r="J86" s="83">
        <v>0.61</v>
      </c>
      <c r="K86" s="55"/>
      <c r="L86" s="8" t="s">
        <v>957</v>
      </c>
      <c r="M86" s="58"/>
    </row>
    <row r="87" spans="2:15" x14ac:dyDescent="0.25">
      <c r="B87" s="8"/>
      <c r="C87" s="8"/>
      <c r="D87" s="8"/>
      <c r="E87" s="93" t="s">
        <v>89</v>
      </c>
      <c r="F87" s="43">
        <f>SUM(F81:F86)</f>
        <v>2.544</v>
      </c>
      <c r="G87" s="43">
        <f>SUM(G81:G86)</f>
        <v>2.544</v>
      </c>
      <c r="H87" s="155"/>
      <c r="I87" s="8"/>
      <c r="J87" s="8"/>
      <c r="K87" s="123"/>
      <c r="L87" s="8"/>
      <c r="M87" s="8"/>
    </row>
    <row r="88" spans="2:15" x14ac:dyDescent="0.25">
      <c r="B88" s="8"/>
      <c r="C88" s="8"/>
      <c r="D88" s="34" t="s">
        <v>768</v>
      </c>
      <c r="E88" s="8" t="s">
        <v>925</v>
      </c>
      <c r="F88" s="52">
        <v>3.1E-2</v>
      </c>
      <c r="G88" s="52">
        <v>3.1E-2</v>
      </c>
      <c r="H88" s="155">
        <v>2</v>
      </c>
      <c r="I88" s="156" t="s">
        <v>1005</v>
      </c>
      <c r="J88" s="163"/>
      <c r="K88" s="55">
        <v>3.1E-2</v>
      </c>
      <c r="L88" s="8" t="s">
        <v>957</v>
      </c>
      <c r="M88" s="57"/>
    </row>
    <row r="89" spans="2:15" x14ac:dyDescent="0.25">
      <c r="B89" s="8"/>
      <c r="C89" s="8"/>
      <c r="D89" s="48" t="s">
        <v>769</v>
      </c>
      <c r="E89" s="8"/>
      <c r="F89" s="55"/>
      <c r="G89" s="55"/>
      <c r="H89" s="155"/>
      <c r="I89" s="8"/>
      <c r="J89" s="8"/>
      <c r="K89" s="123"/>
      <c r="L89" s="8"/>
      <c r="M89" s="8"/>
    </row>
    <row r="90" spans="2:15" x14ac:dyDescent="0.25">
      <c r="B90" s="8"/>
      <c r="C90" s="8"/>
      <c r="D90" s="34" t="s">
        <v>918</v>
      </c>
      <c r="E90" s="8" t="s">
        <v>919</v>
      </c>
      <c r="F90" s="52">
        <v>3.2069999999999999</v>
      </c>
      <c r="G90" s="52">
        <v>3.2069999999999999</v>
      </c>
      <c r="H90" s="155">
        <v>2</v>
      </c>
      <c r="I90" s="156" t="s">
        <v>1005</v>
      </c>
      <c r="J90" s="163"/>
      <c r="K90" s="55">
        <v>3.2069999999999999</v>
      </c>
      <c r="L90" s="8" t="s">
        <v>957</v>
      </c>
      <c r="M90" s="57"/>
    </row>
    <row r="91" spans="2:15" x14ac:dyDescent="0.25">
      <c r="B91" s="8"/>
      <c r="C91" s="8"/>
      <c r="D91" s="361" t="s">
        <v>76</v>
      </c>
      <c r="E91" s="155"/>
      <c r="F91" s="30"/>
      <c r="G91" s="30"/>
      <c r="H91" s="155"/>
      <c r="I91" s="27"/>
      <c r="J91" s="8"/>
      <c r="K91" s="123"/>
      <c r="L91" s="8"/>
      <c r="M91" s="8"/>
    </row>
    <row r="92" spans="2:15" x14ac:dyDescent="0.25">
      <c r="B92" s="8"/>
      <c r="C92" s="8"/>
      <c r="D92" s="362"/>
      <c r="E92" s="155"/>
      <c r="F92" s="30"/>
      <c r="G92" s="30"/>
      <c r="H92" s="155"/>
      <c r="I92" s="27"/>
      <c r="J92" s="8"/>
      <c r="K92" s="123"/>
      <c r="L92" s="8"/>
      <c r="M92" s="8"/>
    </row>
    <row r="93" spans="2:15" x14ac:dyDescent="0.25">
      <c r="B93" s="123"/>
      <c r="C93" s="123"/>
      <c r="D93" s="160" t="s">
        <v>1030</v>
      </c>
      <c r="E93" s="123" t="s">
        <v>1032</v>
      </c>
      <c r="F93" s="201">
        <v>0.76</v>
      </c>
      <c r="G93" s="202">
        <v>0</v>
      </c>
      <c r="H93" s="155" t="s">
        <v>1004</v>
      </c>
      <c r="I93" s="156" t="s">
        <v>1006</v>
      </c>
      <c r="J93" s="163"/>
      <c r="K93" s="83"/>
      <c r="L93" s="8" t="s">
        <v>958</v>
      </c>
      <c r="M93" s="159"/>
    </row>
    <row r="95" spans="2:15" x14ac:dyDescent="0.25">
      <c r="B95" s="129" t="s">
        <v>30</v>
      </c>
      <c r="C95" s="11"/>
      <c r="D95" s="106"/>
      <c r="E95" s="110"/>
      <c r="F95" s="175"/>
      <c r="G95" s="175"/>
      <c r="H95" s="157"/>
      <c r="I95" s="11"/>
      <c r="J95" s="11"/>
      <c r="K95" s="11"/>
      <c r="L95" s="11"/>
      <c r="M95" s="11"/>
    </row>
    <row r="96" spans="2:15" x14ac:dyDescent="0.25">
      <c r="B96" s="129"/>
      <c r="C96" s="11"/>
      <c r="D96" s="106"/>
      <c r="E96" s="110"/>
      <c r="F96" s="175"/>
      <c r="G96" s="175"/>
      <c r="H96" s="157"/>
      <c r="I96" s="11"/>
      <c r="J96" s="11"/>
      <c r="K96" s="11"/>
      <c r="L96" s="11"/>
      <c r="M96" s="11"/>
    </row>
    <row r="97" spans="2:13" ht="15.75" thickBot="1" x14ac:dyDescent="0.3">
      <c r="B97" s="129"/>
      <c r="C97" s="11"/>
      <c r="D97" s="106"/>
      <c r="E97" s="110"/>
      <c r="F97" s="175"/>
      <c r="G97" s="175"/>
      <c r="H97" s="157"/>
      <c r="I97" s="11"/>
      <c r="J97" s="11"/>
      <c r="K97" s="11"/>
      <c r="L97" s="11"/>
      <c r="M97" s="11"/>
    </row>
    <row r="98" spans="2:13" x14ac:dyDescent="0.25">
      <c r="B98" s="381" t="s">
        <v>19</v>
      </c>
      <c r="C98" s="382"/>
      <c r="D98" s="382"/>
      <c r="E98" s="382"/>
      <c r="F98" s="382"/>
      <c r="G98" s="382"/>
      <c r="H98" s="382"/>
      <c r="I98" s="382" t="s">
        <v>1003</v>
      </c>
      <c r="J98" s="382"/>
      <c r="K98" s="382"/>
      <c r="L98" s="382"/>
      <c r="M98" s="383"/>
    </row>
    <row r="99" spans="2:13" x14ac:dyDescent="0.25">
      <c r="B99" s="352"/>
      <c r="C99" s="353"/>
      <c r="D99" s="353"/>
      <c r="E99" s="353"/>
      <c r="F99" s="353"/>
      <c r="G99" s="353"/>
      <c r="H99" s="353"/>
      <c r="I99" s="353"/>
      <c r="J99" s="353"/>
      <c r="K99" s="353"/>
      <c r="L99" s="353"/>
      <c r="M99" s="354"/>
    </row>
    <row r="100" spans="2:13" ht="15.75" thickBot="1" x14ac:dyDescent="0.3">
      <c r="B100" s="384" t="s">
        <v>28</v>
      </c>
      <c r="C100" s="385"/>
      <c r="D100" s="385"/>
      <c r="E100" s="385" t="s">
        <v>96</v>
      </c>
      <c r="F100" s="385"/>
      <c r="G100" s="385"/>
      <c r="H100" s="385"/>
      <c r="I100" s="385"/>
      <c r="J100" s="385" t="s">
        <v>97</v>
      </c>
      <c r="K100" s="385"/>
      <c r="L100" s="385"/>
      <c r="M100" s="386"/>
    </row>
    <row r="101" spans="2:13" ht="30.75" thickBot="1" x14ac:dyDescent="0.3">
      <c r="B101" s="18" t="s">
        <v>12</v>
      </c>
      <c r="C101" s="19" t="s">
        <v>13</v>
      </c>
      <c r="D101" s="19" t="s">
        <v>63</v>
      </c>
      <c r="E101" s="19" t="s">
        <v>64</v>
      </c>
      <c r="F101" s="137" t="s">
        <v>998</v>
      </c>
      <c r="G101" s="137" t="s">
        <v>999</v>
      </c>
      <c r="H101" s="19" t="s">
        <v>14</v>
      </c>
      <c r="I101" s="19" t="s">
        <v>15</v>
      </c>
      <c r="J101" s="19" t="s">
        <v>1102</v>
      </c>
      <c r="K101" s="19" t="s">
        <v>1103</v>
      </c>
      <c r="L101" s="19" t="s">
        <v>16</v>
      </c>
      <c r="M101" s="20" t="s">
        <v>17</v>
      </c>
    </row>
    <row r="102" spans="2:13" x14ac:dyDescent="0.25">
      <c r="B102" s="9"/>
      <c r="C102" s="9"/>
      <c r="D102" s="48" t="s">
        <v>1065</v>
      </c>
      <c r="E102" s="9"/>
      <c r="F102" s="9"/>
      <c r="G102" s="9"/>
      <c r="H102" s="9"/>
      <c r="I102" s="9"/>
      <c r="J102" s="9"/>
      <c r="K102" s="9"/>
      <c r="L102" s="9"/>
      <c r="M102" s="9"/>
    </row>
    <row r="103" spans="2:13" x14ac:dyDescent="0.25">
      <c r="B103" s="8"/>
      <c r="C103" s="8"/>
      <c r="D103" s="34" t="s">
        <v>1066</v>
      </c>
      <c r="E103" s="122" t="s">
        <v>1067</v>
      </c>
      <c r="F103" s="53">
        <v>2.544</v>
      </c>
      <c r="G103" s="53">
        <v>2.544</v>
      </c>
      <c r="H103" s="169">
        <v>2</v>
      </c>
      <c r="I103" s="156" t="s">
        <v>1005</v>
      </c>
      <c r="J103" s="169"/>
      <c r="K103" s="83">
        <v>2.544</v>
      </c>
      <c r="L103" s="8" t="s">
        <v>957</v>
      </c>
      <c r="M103" s="8"/>
    </row>
    <row r="104" spans="2:13" x14ac:dyDescent="0.25">
      <c r="B104" s="8"/>
      <c r="C104" s="8"/>
      <c r="D104" s="57" t="s">
        <v>1068</v>
      </c>
      <c r="E104" s="105"/>
      <c r="F104" s="83"/>
      <c r="G104" s="83"/>
      <c r="H104" s="8"/>
      <c r="I104" s="8"/>
      <c r="J104" s="8"/>
      <c r="K104" s="123"/>
      <c r="L104" s="8"/>
      <c r="M104" s="8"/>
    </row>
    <row r="105" spans="2:13" x14ac:dyDescent="0.25">
      <c r="B105" s="8"/>
      <c r="C105" s="8"/>
      <c r="D105" s="13" t="s">
        <v>1170</v>
      </c>
      <c r="E105" s="105" t="s">
        <v>1069</v>
      </c>
      <c r="F105" s="83">
        <v>0.66700000000000004</v>
      </c>
      <c r="G105" s="83">
        <v>0.66700000000000004</v>
      </c>
      <c r="H105" s="169">
        <v>2</v>
      </c>
      <c r="I105" s="156" t="s">
        <v>1005</v>
      </c>
      <c r="J105" s="83">
        <v>0.66700000000000004</v>
      </c>
      <c r="L105" s="8" t="s">
        <v>957</v>
      </c>
      <c r="M105" s="8"/>
    </row>
    <row r="106" spans="2:13" x14ac:dyDescent="0.25">
      <c r="B106" s="8"/>
      <c r="C106" s="8"/>
      <c r="D106" s="13" t="s">
        <v>33</v>
      </c>
      <c r="E106" s="105" t="s">
        <v>1069</v>
      </c>
      <c r="F106" s="83">
        <v>0.66700000000000004</v>
      </c>
      <c r="G106" s="83">
        <v>0.66700000000000004</v>
      </c>
      <c r="H106" s="169">
        <v>2</v>
      </c>
      <c r="I106" s="156" t="s">
        <v>1005</v>
      </c>
      <c r="J106" s="83">
        <v>0.66700000000000004</v>
      </c>
      <c r="K106" s="8"/>
      <c r="L106" s="8" t="s">
        <v>957</v>
      </c>
      <c r="M106" s="8"/>
    </row>
    <row r="107" spans="2:13" x14ac:dyDescent="0.25">
      <c r="B107" s="8"/>
      <c r="C107" s="8"/>
      <c r="D107" s="13" t="s">
        <v>148</v>
      </c>
      <c r="E107" s="105"/>
      <c r="F107" s="83">
        <v>0.112</v>
      </c>
      <c r="G107" s="83">
        <v>0.112</v>
      </c>
      <c r="H107" s="169">
        <v>2</v>
      </c>
      <c r="I107" s="156" t="s">
        <v>1005</v>
      </c>
      <c r="J107" s="83">
        <v>0.112</v>
      </c>
      <c r="L107" s="8" t="s">
        <v>957</v>
      </c>
      <c r="M107" s="8"/>
    </row>
    <row r="108" spans="2:13" x14ac:dyDescent="0.25">
      <c r="B108" s="8"/>
      <c r="C108" s="8"/>
      <c r="D108" s="34"/>
      <c r="E108" s="169" t="s">
        <v>89</v>
      </c>
      <c r="F108" s="43">
        <f>SUM(F105:F107)</f>
        <v>1.4460000000000002</v>
      </c>
      <c r="G108" s="43">
        <f>SUM(G105:G107)</f>
        <v>1.4460000000000002</v>
      </c>
      <c r="H108" s="8"/>
      <c r="I108" s="8"/>
      <c r="J108" s="8"/>
      <c r="K108" s="123"/>
      <c r="L108" s="8"/>
      <c r="M108" s="8"/>
    </row>
    <row r="109" spans="2:13" ht="15.75" thickBot="1" x14ac:dyDescent="0.3">
      <c r="B109" s="8"/>
      <c r="C109" s="8"/>
      <c r="D109" s="34" t="s">
        <v>1070</v>
      </c>
      <c r="E109" s="122" t="s">
        <v>1071</v>
      </c>
      <c r="F109" s="53">
        <v>5.8010000000000002</v>
      </c>
      <c r="G109" s="53">
        <v>5.8010000000000002</v>
      </c>
      <c r="H109" s="169">
        <v>2</v>
      </c>
      <c r="I109" s="156" t="s">
        <v>1005</v>
      </c>
      <c r="J109" s="169"/>
      <c r="K109" s="83">
        <v>5.8010000000000002</v>
      </c>
      <c r="L109" s="8" t="s">
        <v>957</v>
      </c>
      <c r="M109" s="8"/>
    </row>
    <row r="110" spans="2:13" ht="15.75" thickBot="1" x14ac:dyDescent="0.3">
      <c r="B110" s="157" t="s">
        <v>1007</v>
      </c>
      <c r="C110" s="11"/>
      <c r="D110" s="106"/>
      <c r="E110" s="95" t="s">
        <v>705</v>
      </c>
      <c r="F110" s="142">
        <f>SUM(F109,F108,F103,F90,F87,F88,F79,F76,F75,F64,F63,F56,F45,F38,F37,F31,F30,F24,F23,F18,F17,F8,F93)</f>
        <v>88.233000000000004</v>
      </c>
      <c r="G110" s="142">
        <f>SUM(G109,G108,G103,G90,G87,G88,G79,G76,G75,G64,G63,G56,G45,G38,G37,G31,G30,G24,G23,G18,G17,G8,G93)</f>
        <v>87.472999999999999</v>
      </c>
      <c r="I110" s="203" t="s">
        <v>11</v>
      </c>
      <c r="J110" s="215">
        <f>SUM(J8:J45,J56:J90,J103:J109)</f>
        <v>20.256</v>
      </c>
      <c r="K110" s="215">
        <f>SUM(K8:K45,K56:K90,K103:K109)</f>
        <v>67.216999999999999</v>
      </c>
      <c r="L110" s="61" t="s">
        <v>1035</v>
      </c>
      <c r="M110" s="219">
        <f>J110+K110</f>
        <v>87.472999999999999</v>
      </c>
    </row>
    <row r="111" spans="2:13" x14ac:dyDescent="0.25">
      <c r="B111" s="129" t="s">
        <v>30</v>
      </c>
      <c r="C111" s="11"/>
      <c r="D111" s="106"/>
      <c r="E111" s="110"/>
      <c r="F111" s="175"/>
      <c r="G111" s="175"/>
      <c r="H111" s="157"/>
      <c r="I111" s="205" t="s">
        <v>1104</v>
      </c>
      <c r="J111" s="206">
        <f>SUM(J7:J45,J56:J90,J103:J109)*1000*5</f>
        <v>101280</v>
      </c>
      <c r="K111" s="206">
        <f>SUM(K8:K45,K56:K90,K103:K109)*1000*6</f>
        <v>403302</v>
      </c>
      <c r="L111" s="213" t="s">
        <v>1155</v>
      </c>
      <c r="M111" s="198">
        <f>SUM(K8,J10:J16,K31,K76,K79)</f>
        <v>31.685000000000002</v>
      </c>
    </row>
    <row r="112" spans="2:13" x14ac:dyDescent="0.25">
      <c r="E112" s="110" t="s">
        <v>1000</v>
      </c>
      <c r="F112" s="144">
        <f>SUM(F18,F23:F24,F30,F37:F38,F45,F56,F63:F64,F75,F87:F88,F90,F103,F108,F109)</f>
        <v>55.78799999999999</v>
      </c>
      <c r="G112" s="144">
        <f>SUM(G18,G23:G24,G30,G37:G38,G45,G56,G63:G64,G75,G87:G88,G90,G103,G108,G109)</f>
        <v>55.78799999999999</v>
      </c>
      <c r="I112" s="208"/>
      <c r="J112" s="209" t="s">
        <v>1105</v>
      </c>
      <c r="K112" s="210">
        <f>J111+K111</f>
        <v>504582</v>
      </c>
      <c r="L112" s="211"/>
    </row>
    <row r="113" spans="3:13" x14ac:dyDescent="0.25">
      <c r="C113" s="129"/>
      <c r="D113" s="129"/>
      <c r="E113" s="140" t="s">
        <v>1002</v>
      </c>
      <c r="F113" s="144">
        <f>F110-F112</f>
        <v>32.445000000000014</v>
      </c>
      <c r="G113" s="144">
        <f>G110-G112</f>
        <v>31.685000000000009</v>
      </c>
      <c r="H113" s="129"/>
      <c r="I113" s="194"/>
      <c r="J113" s="186" t="s">
        <v>1126</v>
      </c>
      <c r="K113" s="184">
        <f>SUM(K112/10000)</f>
        <v>50.458199999999998</v>
      </c>
      <c r="L113" s="185" t="s">
        <v>1107</v>
      </c>
      <c r="M113" s="129"/>
    </row>
    <row r="114" spans="3:13" x14ac:dyDescent="0.25">
      <c r="I114" s="194"/>
      <c r="J114" s="186" t="s">
        <v>1125</v>
      </c>
      <c r="K114" s="184">
        <f>(SUM(J10:J16)*5*0.1)+SUM(K8,K31,K76:K79)*6*0.1</f>
        <v>18.6569</v>
      </c>
      <c r="L114" s="185" t="s">
        <v>1107</v>
      </c>
    </row>
    <row r="115" spans="3:13" x14ac:dyDescent="0.25">
      <c r="E115" s="110" t="s">
        <v>1033</v>
      </c>
      <c r="F115" s="134">
        <f>F18+F23+F24+F30+F37+F38+F45+F56+F63+F64+F75+F87+F88+F90+F103+F108+F109</f>
        <v>55.78799999999999</v>
      </c>
      <c r="G115" s="134">
        <f>G18+G23+G24+G30+G37+G38+G45+G56+G63+G64+G75+G87+G88+G90+G103+G108+G109+G93</f>
        <v>55.78799999999999</v>
      </c>
      <c r="H115" t="s">
        <v>1035</v>
      </c>
      <c r="I115" s="193"/>
      <c r="J115" s="188" t="s">
        <v>1108</v>
      </c>
      <c r="K115" s="184">
        <v>4</v>
      </c>
      <c r="L115" s="185" t="s">
        <v>1109</v>
      </c>
    </row>
    <row r="116" spans="3:13" x14ac:dyDescent="0.25">
      <c r="E116" s="110" t="s">
        <v>1034</v>
      </c>
      <c r="F116" s="134">
        <f>F110-F115</f>
        <v>32.445000000000014</v>
      </c>
      <c r="G116" s="134">
        <f>G110-G115+G93</f>
        <v>31.685000000000009</v>
      </c>
      <c r="H116" t="s">
        <v>1035</v>
      </c>
      <c r="I116" s="193"/>
      <c r="J116" s="188" t="s">
        <v>1110</v>
      </c>
      <c r="K116" s="184">
        <v>1.8</v>
      </c>
      <c r="L116" s="185" t="s">
        <v>1109</v>
      </c>
    </row>
    <row r="117" spans="3:13" x14ac:dyDescent="0.25">
      <c r="I117" s="192"/>
      <c r="J117" s="188" t="s">
        <v>1111</v>
      </c>
      <c r="K117" s="184">
        <v>300</v>
      </c>
      <c r="L117" s="185" t="s">
        <v>1109</v>
      </c>
    </row>
    <row r="118" spans="3:13" x14ac:dyDescent="0.25">
      <c r="I118" s="192"/>
      <c r="J118" s="189" t="s">
        <v>1115</v>
      </c>
      <c r="K118" s="191">
        <f>K113*K115</f>
        <v>201.83279999999999</v>
      </c>
      <c r="L118" s="187" t="s">
        <v>1112</v>
      </c>
    </row>
    <row r="119" spans="3:13" x14ac:dyDescent="0.25">
      <c r="I119" s="70"/>
      <c r="J119" s="189" t="s">
        <v>1116</v>
      </c>
      <c r="K119" s="191">
        <f>K114*K116</f>
        <v>33.582419999999999</v>
      </c>
      <c r="L119" s="187" t="s">
        <v>1112</v>
      </c>
    </row>
    <row r="120" spans="3:13" x14ac:dyDescent="0.25">
      <c r="I120" s="70"/>
      <c r="J120" s="190" t="s">
        <v>1113</v>
      </c>
      <c r="K120" s="191">
        <f>K113*K117/1000</f>
        <v>15.137459999999999</v>
      </c>
      <c r="L120" s="187" t="s">
        <v>1114</v>
      </c>
    </row>
  </sheetData>
  <mergeCells count="21">
    <mergeCell ref="D91:D92"/>
    <mergeCell ref="B50:M50"/>
    <mergeCell ref="B51:H51"/>
    <mergeCell ref="I51:M51"/>
    <mergeCell ref="B52:M52"/>
    <mergeCell ref="B53:D53"/>
    <mergeCell ref="E53:I53"/>
    <mergeCell ref="J53:M53"/>
    <mergeCell ref="B2:M2"/>
    <mergeCell ref="B3:H3"/>
    <mergeCell ref="I3:M3"/>
    <mergeCell ref="B4:M4"/>
    <mergeCell ref="B5:D5"/>
    <mergeCell ref="E5:I5"/>
    <mergeCell ref="J5:M5"/>
    <mergeCell ref="B98:H98"/>
    <mergeCell ref="I98:M98"/>
    <mergeCell ref="B99:M99"/>
    <mergeCell ref="B100:D100"/>
    <mergeCell ref="E100:I100"/>
    <mergeCell ref="J100:M100"/>
  </mergeCells>
  <pageMargins left="0.70866141732283472" right="0.70866141732283472" top="0.78740157480314965" bottom="0.78740157480314965" header="0.31496062992125984" footer="0.31496062992125984"/>
  <pageSetup paperSize="9" scale="68"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B1:M97"/>
  <sheetViews>
    <sheetView topLeftCell="A70" zoomScaleNormal="100" workbookViewId="0">
      <selection activeCell="K89" sqref="K89"/>
    </sheetView>
  </sheetViews>
  <sheetFormatPr defaultRowHeight="15" x14ac:dyDescent="0.25"/>
  <cols>
    <col min="1" max="1" width="6.28515625" customWidth="1"/>
    <col min="2" max="2" width="13.140625" customWidth="1"/>
    <col min="3" max="3" width="12.7109375" customWidth="1"/>
    <col min="4" max="4" width="32.5703125" customWidth="1"/>
    <col min="5" max="5" width="17.7109375" customWidth="1"/>
    <col min="6" max="8" width="10.7109375" customWidth="1"/>
    <col min="9" max="9" width="24.42578125" customWidth="1"/>
    <col min="10" max="11" width="10.7109375" customWidth="1"/>
    <col min="12" max="12" width="18.7109375" customWidth="1"/>
    <col min="13" max="13" width="27.7109375" customWidth="1"/>
  </cols>
  <sheetData>
    <row r="1" spans="2:13" ht="15.75" thickBot="1" x14ac:dyDescent="0.3"/>
    <row r="2" spans="2:13" ht="19.5" thickBot="1" x14ac:dyDescent="0.3">
      <c r="B2" s="349" t="s">
        <v>18</v>
      </c>
      <c r="C2" s="350"/>
      <c r="D2" s="350"/>
      <c r="E2" s="350"/>
      <c r="F2" s="350"/>
      <c r="G2" s="350"/>
      <c r="H2" s="350"/>
      <c r="I2" s="350"/>
      <c r="J2" s="350"/>
      <c r="K2" s="350"/>
      <c r="L2" s="350"/>
      <c r="M2" s="351"/>
    </row>
    <row r="3" spans="2:13" x14ac:dyDescent="0.25">
      <c r="B3" s="357" t="s">
        <v>19</v>
      </c>
      <c r="C3" s="355"/>
      <c r="D3" s="355"/>
      <c r="E3" s="355"/>
      <c r="F3" s="355"/>
      <c r="G3" s="355"/>
      <c r="H3" s="355"/>
      <c r="I3" s="355" t="s">
        <v>1003</v>
      </c>
      <c r="J3" s="355"/>
      <c r="K3" s="355"/>
      <c r="L3" s="355"/>
      <c r="M3" s="356"/>
    </row>
    <row r="4" spans="2:13" x14ac:dyDescent="0.25">
      <c r="B4" s="352"/>
      <c r="C4" s="353"/>
      <c r="D4" s="353"/>
      <c r="E4" s="353"/>
      <c r="F4" s="353"/>
      <c r="G4" s="353"/>
      <c r="H4" s="353"/>
      <c r="I4" s="353"/>
      <c r="J4" s="353"/>
      <c r="K4" s="353"/>
      <c r="L4" s="353"/>
      <c r="M4" s="354"/>
    </row>
    <row r="5" spans="2:13" ht="15.75" thickBot="1" x14ac:dyDescent="0.3">
      <c r="B5" s="358" t="s">
        <v>29</v>
      </c>
      <c r="C5" s="359"/>
      <c r="D5" s="359"/>
      <c r="E5" s="359" t="s">
        <v>98</v>
      </c>
      <c r="F5" s="359"/>
      <c r="G5" s="359"/>
      <c r="H5" s="359"/>
      <c r="I5" s="359"/>
      <c r="J5" s="359" t="s">
        <v>99</v>
      </c>
      <c r="K5" s="359"/>
      <c r="L5" s="359"/>
      <c r="M5" s="360"/>
    </row>
    <row r="6" spans="2:13" ht="30"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row>
    <row r="7" spans="2:13" x14ac:dyDescent="0.25">
      <c r="B7" s="9"/>
      <c r="C7" s="9"/>
      <c r="D7" s="54" t="s">
        <v>674</v>
      </c>
      <c r="E7" s="9"/>
      <c r="F7" s="9"/>
      <c r="G7" s="9"/>
      <c r="H7" s="9"/>
      <c r="I7" s="9"/>
      <c r="J7" s="9"/>
      <c r="K7" s="9"/>
      <c r="L7" s="9"/>
      <c r="M7" s="9"/>
    </row>
    <row r="8" spans="2:13" x14ac:dyDescent="0.25">
      <c r="B8" s="9"/>
      <c r="C8" s="9"/>
      <c r="D8" s="57" t="s">
        <v>653</v>
      </c>
      <c r="E8" s="9"/>
      <c r="F8" s="9"/>
      <c r="G8" s="9"/>
      <c r="H8" s="9"/>
      <c r="I8" s="9"/>
      <c r="J8" s="9"/>
      <c r="K8" s="200"/>
      <c r="L8" s="9"/>
      <c r="M8" s="9"/>
    </row>
    <row r="9" spans="2:13" x14ac:dyDescent="0.25">
      <c r="B9" s="8"/>
      <c r="C9" s="8"/>
      <c r="D9" s="13" t="s">
        <v>1153</v>
      </c>
      <c r="E9" s="8" t="s">
        <v>654</v>
      </c>
      <c r="F9" s="92">
        <v>0.54400000000000004</v>
      </c>
      <c r="G9" s="136">
        <v>0.54400000000000004</v>
      </c>
      <c r="H9" s="155" t="s">
        <v>1008</v>
      </c>
      <c r="I9" s="156" t="s">
        <v>1006</v>
      </c>
      <c r="J9" s="183">
        <v>0.54400000000000004</v>
      </c>
      <c r="K9" s="55"/>
      <c r="L9" s="8" t="s">
        <v>958</v>
      </c>
      <c r="M9" s="8"/>
    </row>
    <row r="10" spans="2:13" x14ac:dyDescent="0.25">
      <c r="B10" s="8"/>
      <c r="C10" s="8"/>
      <c r="D10" s="13" t="s">
        <v>33</v>
      </c>
      <c r="E10" s="8" t="s">
        <v>655</v>
      </c>
      <c r="F10" s="92">
        <v>0.192</v>
      </c>
      <c r="G10" s="136">
        <v>0.192</v>
      </c>
      <c r="H10" s="155" t="s">
        <v>1008</v>
      </c>
      <c r="I10" s="156" t="s">
        <v>1006</v>
      </c>
      <c r="J10" s="183">
        <v>0.192</v>
      </c>
      <c r="K10" s="55"/>
      <c r="L10" s="8" t="s">
        <v>958</v>
      </c>
      <c r="M10" s="8"/>
    </row>
    <row r="11" spans="2:13" x14ac:dyDescent="0.25">
      <c r="B11" s="8"/>
      <c r="C11" s="8"/>
      <c r="D11" s="13" t="s">
        <v>1154</v>
      </c>
      <c r="E11" s="8" t="s">
        <v>656</v>
      </c>
      <c r="F11" s="92">
        <v>0.54200000000000004</v>
      </c>
      <c r="G11" s="136">
        <v>0.54200000000000004</v>
      </c>
      <c r="H11" s="155" t="s">
        <v>1008</v>
      </c>
      <c r="I11" s="156" t="s">
        <v>1006</v>
      </c>
      <c r="J11" s="183">
        <v>0.54200000000000004</v>
      </c>
      <c r="K11" s="55"/>
      <c r="L11" s="8" t="s">
        <v>958</v>
      </c>
      <c r="M11" s="8"/>
    </row>
    <row r="12" spans="2:13" x14ac:dyDescent="0.25">
      <c r="B12" s="8"/>
      <c r="C12" s="8"/>
      <c r="D12" s="13" t="s">
        <v>35</v>
      </c>
      <c r="E12" s="8" t="s">
        <v>656</v>
      </c>
      <c r="F12" s="92">
        <v>0.54200000000000004</v>
      </c>
      <c r="G12" s="136">
        <v>0.54200000000000004</v>
      </c>
      <c r="H12" s="155" t="s">
        <v>1008</v>
      </c>
      <c r="I12" s="156" t="s">
        <v>1006</v>
      </c>
      <c r="J12" s="183">
        <v>0.54200000000000004</v>
      </c>
      <c r="K12" s="55"/>
      <c r="L12" s="8" t="s">
        <v>958</v>
      </c>
      <c r="M12" s="8"/>
    </row>
    <row r="13" spans="2:13" x14ac:dyDescent="0.25">
      <c r="B13" s="8"/>
      <c r="C13" s="8"/>
      <c r="D13" s="13" t="s">
        <v>148</v>
      </c>
      <c r="E13" s="8"/>
      <c r="F13" s="51">
        <v>0.318</v>
      </c>
      <c r="G13" s="51">
        <v>0.318</v>
      </c>
      <c r="H13" s="155" t="s">
        <v>1008</v>
      </c>
      <c r="I13" s="156" t="s">
        <v>1006</v>
      </c>
      <c r="J13" s="51">
        <v>0.318</v>
      </c>
      <c r="K13" s="55"/>
      <c r="L13" s="8" t="s">
        <v>958</v>
      </c>
      <c r="M13" s="8"/>
    </row>
    <row r="14" spans="2:13" x14ac:dyDescent="0.25">
      <c r="B14" s="8"/>
      <c r="C14" s="8"/>
      <c r="D14" s="13"/>
      <c r="E14" s="92" t="s">
        <v>89</v>
      </c>
      <c r="F14" s="43">
        <f>SUM(F9:F13)</f>
        <v>2.1379999999999999</v>
      </c>
      <c r="G14" s="43">
        <f>SUM(G9:G13)</f>
        <v>2.1379999999999999</v>
      </c>
      <c r="H14" s="155"/>
      <c r="I14" s="8"/>
      <c r="J14" s="136"/>
      <c r="K14" s="55"/>
      <c r="L14" s="8"/>
      <c r="M14" s="8"/>
    </row>
    <row r="15" spans="2:13" x14ac:dyDescent="0.25">
      <c r="B15" s="8"/>
      <c r="C15" s="8"/>
      <c r="D15" s="34" t="s">
        <v>657</v>
      </c>
      <c r="E15" s="8" t="s">
        <v>658</v>
      </c>
      <c r="F15" s="52">
        <v>5.1980000000000004</v>
      </c>
      <c r="G15" s="52">
        <v>5.1980000000000004</v>
      </c>
      <c r="H15" s="155" t="s">
        <v>1008</v>
      </c>
      <c r="I15" s="156" t="s">
        <v>1006</v>
      </c>
      <c r="J15" s="163"/>
      <c r="K15" s="55">
        <v>5.1980000000000004</v>
      </c>
      <c r="L15" s="8" t="s">
        <v>958</v>
      </c>
      <c r="M15" s="8"/>
    </row>
    <row r="16" spans="2:13" x14ac:dyDescent="0.25">
      <c r="B16" s="8"/>
      <c r="C16" s="8"/>
      <c r="D16" s="57" t="s">
        <v>659</v>
      </c>
      <c r="E16" s="8"/>
      <c r="F16" s="8"/>
      <c r="G16" s="8"/>
      <c r="H16" s="155"/>
      <c r="I16" s="8"/>
      <c r="J16" s="8"/>
      <c r="K16" s="123"/>
      <c r="L16" s="8"/>
      <c r="M16" s="8"/>
    </row>
    <row r="17" spans="2:13" x14ac:dyDescent="0.25">
      <c r="B17" s="8"/>
      <c r="C17" s="8"/>
      <c r="D17" s="13" t="s">
        <v>1123</v>
      </c>
      <c r="E17" s="8" t="s">
        <v>668</v>
      </c>
      <c r="F17" s="51">
        <v>0.59099999999999997</v>
      </c>
      <c r="G17" s="51">
        <v>0.59099999999999997</v>
      </c>
      <c r="H17" s="155">
        <v>2</v>
      </c>
      <c r="I17" s="156" t="s">
        <v>1005</v>
      </c>
      <c r="J17" s="51">
        <v>0.59099999999999997</v>
      </c>
      <c r="K17" s="55"/>
      <c r="L17" s="8" t="s">
        <v>957</v>
      </c>
      <c r="M17" s="8"/>
    </row>
    <row r="18" spans="2:13" x14ac:dyDescent="0.25">
      <c r="B18" s="8"/>
      <c r="C18" s="8"/>
      <c r="D18" s="13" t="s">
        <v>464</v>
      </c>
      <c r="E18" s="8" t="s">
        <v>660</v>
      </c>
      <c r="F18" s="179">
        <v>0.55800000000000005</v>
      </c>
      <c r="G18" s="179">
        <v>0.55800000000000005</v>
      </c>
      <c r="H18" s="155">
        <v>2</v>
      </c>
      <c r="I18" s="156" t="s">
        <v>1005</v>
      </c>
      <c r="J18" s="183">
        <v>0.55800000000000005</v>
      </c>
      <c r="K18" s="55"/>
      <c r="L18" s="8" t="s">
        <v>957</v>
      </c>
      <c r="M18" s="8"/>
    </row>
    <row r="19" spans="2:13" x14ac:dyDescent="0.25">
      <c r="B19" s="8"/>
      <c r="C19" s="8"/>
      <c r="D19" s="13" t="s">
        <v>34</v>
      </c>
      <c r="E19" s="8" t="s">
        <v>661</v>
      </c>
      <c r="F19" s="179">
        <v>0.499</v>
      </c>
      <c r="G19" s="179">
        <v>0.499</v>
      </c>
      <c r="H19" s="155">
        <v>2</v>
      </c>
      <c r="I19" s="156" t="s">
        <v>1005</v>
      </c>
      <c r="J19" s="183">
        <v>0.499</v>
      </c>
      <c r="K19" s="55"/>
      <c r="L19" s="8" t="s">
        <v>957</v>
      </c>
      <c r="M19" s="8"/>
    </row>
    <row r="20" spans="2:13" x14ac:dyDescent="0.25">
      <c r="B20" s="8"/>
      <c r="C20" s="8"/>
      <c r="D20" s="13" t="s">
        <v>37</v>
      </c>
      <c r="E20" s="8" t="s">
        <v>662</v>
      </c>
      <c r="F20" s="179">
        <v>0.436</v>
      </c>
      <c r="G20" s="179">
        <v>0.436</v>
      </c>
      <c r="H20" s="155">
        <v>2</v>
      </c>
      <c r="I20" s="156" t="s">
        <v>1005</v>
      </c>
      <c r="J20" s="183">
        <v>0.436</v>
      </c>
      <c r="K20" s="55"/>
      <c r="L20" s="8" t="s">
        <v>957</v>
      </c>
      <c r="M20" s="8"/>
    </row>
    <row r="21" spans="2:13" x14ac:dyDescent="0.25">
      <c r="B21" s="8"/>
      <c r="C21" s="8"/>
      <c r="D21" s="13" t="s">
        <v>39</v>
      </c>
      <c r="E21" s="8" t="s">
        <v>663</v>
      </c>
      <c r="F21" s="179">
        <v>0.38200000000000001</v>
      </c>
      <c r="G21" s="179">
        <v>0.38200000000000001</v>
      </c>
      <c r="H21" s="155">
        <v>2</v>
      </c>
      <c r="I21" s="156" t="s">
        <v>1005</v>
      </c>
      <c r="J21" s="183">
        <v>0.38200000000000001</v>
      </c>
      <c r="K21" s="55"/>
      <c r="L21" s="8" t="s">
        <v>957</v>
      </c>
      <c r="M21" s="8"/>
    </row>
    <row r="22" spans="2:13" x14ac:dyDescent="0.25">
      <c r="B22" s="8"/>
      <c r="C22" s="8"/>
      <c r="D22" s="13" t="s">
        <v>40</v>
      </c>
      <c r="E22" s="8" t="s">
        <v>664</v>
      </c>
      <c r="F22" s="179">
        <v>0.34899999999999998</v>
      </c>
      <c r="G22" s="179">
        <v>0.34899999999999998</v>
      </c>
      <c r="H22" s="155">
        <v>2</v>
      </c>
      <c r="I22" s="156" t="s">
        <v>1005</v>
      </c>
      <c r="J22" s="183">
        <v>0.34899999999999998</v>
      </c>
      <c r="K22" s="55"/>
      <c r="L22" s="8" t="s">
        <v>957</v>
      </c>
      <c r="M22" s="8"/>
    </row>
    <row r="23" spans="2:13" x14ac:dyDescent="0.25">
      <c r="B23" s="8"/>
      <c r="C23" s="8"/>
      <c r="D23" s="13" t="s">
        <v>41</v>
      </c>
      <c r="E23" s="8" t="s">
        <v>665</v>
      </c>
      <c r="F23" s="179">
        <v>0.308</v>
      </c>
      <c r="G23" s="179">
        <v>0.308</v>
      </c>
      <c r="H23" s="155">
        <v>2</v>
      </c>
      <c r="I23" s="156" t="s">
        <v>1005</v>
      </c>
      <c r="J23" s="183">
        <v>0.308</v>
      </c>
      <c r="K23" s="55"/>
      <c r="L23" s="8" t="s">
        <v>957</v>
      </c>
      <c r="M23" s="8"/>
    </row>
    <row r="24" spans="2:13" x14ac:dyDescent="0.25">
      <c r="B24" s="8"/>
      <c r="C24" s="8"/>
      <c r="D24" s="13" t="s">
        <v>1154</v>
      </c>
      <c r="E24" s="8" t="s">
        <v>666</v>
      </c>
      <c r="F24" s="179">
        <v>8.2000000000000003E-2</v>
      </c>
      <c r="G24" s="179">
        <v>8.2000000000000003E-2</v>
      </c>
      <c r="H24" s="155">
        <v>2</v>
      </c>
      <c r="I24" s="156" t="s">
        <v>1005</v>
      </c>
      <c r="J24" s="183">
        <v>8.2000000000000003E-2</v>
      </c>
      <c r="K24" s="55"/>
      <c r="L24" s="8" t="s">
        <v>957</v>
      </c>
      <c r="M24" s="8"/>
    </row>
    <row r="25" spans="2:13" x14ac:dyDescent="0.25">
      <c r="B25" s="8"/>
      <c r="C25" s="8"/>
      <c r="D25" s="13" t="s">
        <v>35</v>
      </c>
      <c r="E25" s="8" t="s">
        <v>667</v>
      </c>
      <c r="F25" s="179">
        <v>4.7E-2</v>
      </c>
      <c r="G25" s="179">
        <v>4.7E-2</v>
      </c>
      <c r="H25" s="155">
        <v>2</v>
      </c>
      <c r="I25" s="156" t="s">
        <v>1005</v>
      </c>
      <c r="J25" s="183">
        <v>4.7E-2</v>
      </c>
      <c r="K25" s="55"/>
      <c r="L25" s="8" t="s">
        <v>957</v>
      </c>
      <c r="M25" s="8"/>
    </row>
    <row r="26" spans="2:13" x14ac:dyDescent="0.25">
      <c r="B26" s="8"/>
      <c r="C26" s="8"/>
      <c r="D26" s="13" t="s">
        <v>148</v>
      </c>
      <c r="E26" s="8"/>
      <c r="F26" s="179">
        <v>0.91900000000000004</v>
      </c>
      <c r="G26" s="179">
        <v>0.91900000000000004</v>
      </c>
      <c r="H26" s="155">
        <v>2</v>
      </c>
      <c r="I26" s="156" t="s">
        <v>1005</v>
      </c>
      <c r="J26" s="183">
        <v>0.91900000000000004</v>
      </c>
      <c r="K26" s="55"/>
      <c r="L26" s="8" t="s">
        <v>957</v>
      </c>
      <c r="M26" s="8"/>
    </row>
    <row r="27" spans="2:13" x14ac:dyDescent="0.25">
      <c r="B27" s="8"/>
      <c r="C27" s="8"/>
      <c r="D27" s="13"/>
      <c r="E27" s="92" t="s">
        <v>89</v>
      </c>
      <c r="F27" s="43">
        <f>SUM(F17:F26)</f>
        <v>4.1710000000000003</v>
      </c>
      <c r="G27" s="43">
        <f>SUM(G17:G26)</f>
        <v>4.1710000000000003</v>
      </c>
      <c r="H27" s="155"/>
      <c r="I27" s="8"/>
      <c r="J27" s="8"/>
      <c r="K27" s="123"/>
      <c r="L27" s="8"/>
      <c r="M27" s="8"/>
    </row>
    <row r="28" spans="2:13" x14ac:dyDescent="0.25">
      <c r="B28" s="8"/>
      <c r="C28" s="8"/>
      <c r="D28" s="34" t="s">
        <v>669</v>
      </c>
      <c r="E28" s="8" t="s">
        <v>670</v>
      </c>
      <c r="F28" s="52">
        <v>6.2110000000000003</v>
      </c>
      <c r="G28" s="52">
        <v>6.2110000000000003</v>
      </c>
      <c r="H28" s="155" t="s">
        <v>1008</v>
      </c>
      <c r="I28" s="156" t="s">
        <v>1006</v>
      </c>
      <c r="J28" s="163"/>
      <c r="K28" s="55">
        <v>6.2110000000000003</v>
      </c>
      <c r="L28" s="8" t="s">
        <v>958</v>
      </c>
      <c r="M28" s="123"/>
    </row>
    <row r="29" spans="2:13" x14ac:dyDescent="0.25">
      <c r="B29" s="8"/>
      <c r="C29" s="8"/>
      <c r="D29" s="57" t="s">
        <v>671</v>
      </c>
      <c r="E29" s="8"/>
      <c r="F29" s="8"/>
      <c r="G29" s="8"/>
      <c r="H29" s="155"/>
      <c r="I29" s="8"/>
      <c r="J29" s="8"/>
      <c r="K29" s="123"/>
      <c r="L29" s="8"/>
      <c r="M29" s="123"/>
    </row>
    <row r="30" spans="2:13" x14ac:dyDescent="0.25">
      <c r="B30" s="8"/>
      <c r="C30" s="8"/>
      <c r="D30" s="13" t="s">
        <v>679</v>
      </c>
      <c r="E30" s="8" t="s">
        <v>672</v>
      </c>
      <c r="F30" s="92">
        <v>0.16900000000000001</v>
      </c>
      <c r="G30" s="136">
        <v>0.16900000000000001</v>
      </c>
      <c r="H30" s="155">
        <v>2</v>
      </c>
      <c r="I30" s="156" t="s">
        <v>1005</v>
      </c>
      <c r="J30" s="183">
        <v>0.16900000000000001</v>
      </c>
      <c r="K30" s="55"/>
      <c r="L30" s="8" t="s">
        <v>957</v>
      </c>
      <c r="M30" s="123"/>
    </row>
    <row r="31" spans="2:13" x14ac:dyDescent="0.25">
      <c r="B31" s="8"/>
      <c r="C31" s="8"/>
      <c r="D31" s="13" t="s">
        <v>533</v>
      </c>
      <c r="E31" s="8" t="s">
        <v>673</v>
      </c>
      <c r="F31" s="92">
        <v>0.42799999999999999</v>
      </c>
      <c r="G31" s="136">
        <v>0.42799999999999999</v>
      </c>
      <c r="H31" s="155">
        <v>2</v>
      </c>
      <c r="I31" s="156" t="s">
        <v>1005</v>
      </c>
      <c r="J31" s="183">
        <v>0.42799999999999999</v>
      </c>
      <c r="K31" s="55"/>
      <c r="L31" s="8" t="s">
        <v>957</v>
      </c>
      <c r="M31" s="123"/>
    </row>
    <row r="32" spans="2:13" x14ac:dyDescent="0.25">
      <c r="B32" s="8"/>
      <c r="C32" s="8"/>
      <c r="D32" s="13" t="s">
        <v>148</v>
      </c>
      <c r="E32" s="8"/>
      <c r="F32" s="92">
        <v>0.112</v>
      </c>
      <c r="G32" s="136">
        <v>0.112</v>
      </c>
      <c r="H32" s="155">
        <v>2</v>
      </c>
      <c r="I32" s="156" t="s">
        <v>1005</v>
      </c>
      <c r="J32" s="183">
        <v>0.112</v>
      </c>
      <c r="K32" s="55"/>
      <c r="L32" s="8" t="s">
        <v>957</v>
      </c>
      <c r="M32" s="123"/>
    </row>
    <row r="33" spans="2:13" x14ac:dyDescent="0.25">
      <c r="B33" s="8"/>
      <c r="C33" s="8"/>
      <c r="D33" s="13"/>
      <c r="E33" s="92" t="s">
        <v>89</v>
      </c>
      <c r="F33" s="43">
        <f>SUM(F30:F32)</f>
        <v>0.70899999999999996</v>
      </c>
      <c r="G33" s="43">
        <f>SUM(G30:G32)</f>
        <v>0.70899999999999996</v>
      </c>
      <c r="H33" s="8"/>
      <c r="I33" s="8"/>
      <c r="J33" s="8"/>
      <c r="K33" s="8"/>
      <c r="L33" s="8"/>
      <c r="M33" s="8"/>
    </row>
    <row r="35" spans="2:13" x14ac:dyDescent="0.25">
      <c r="B35" s="129" t="s">
        <v>30</v>
      </c>
      <c r="C35" s="129"/>
      <c r="D35" s="129"/>
      <c r="E35" s="129"/>
      <c r="F35" s="129"/>
      <c r="G35" s="129"/>
      <c r="H35" s="129"/>
      <c r="I35" s="129"/>
      <c r="J35" s="129"/>
      <c r="K35" s="129"/>
      <c r="L35" s="129"/>
      <c r="M35" s="129"/>
    </row>
    <row r="36" spans="2:13" ht="15.75" thickBot="1" x14ac:dyDescent="0.3"/>
    <row r="37" spans="2:13" ht="19.5" thickBot="1" x14ac:dyDescent="0.3">
      <c r="B37" s="349" t="s">
        <v>18</v>
      </c>
      <c r="C37" s="350"/>
      <c r="D37" s="350"/>
      <c r="E37" s="350"/>
      <c r="F37" s="350"/>
      <c r="G37" s="350"/>
      <c r="H37" s="350"/>
      <c r="I37" s="350"/>
      <c r="J37" s="350"/>
      <c r="K37" s="350"/>
      <c r="L37" s="350"/>
      <c r="M37" s="351"/>
    </row>
    <row r="38" spans="2:13" x14ac:dyDescent="0.25">
      <c r="B38" s="357" t="s">
        <v>19</v>
      </c>
      <c r="C38" s="355"/>
      <c r="D38" s="355"/>
      <c r="E38" s="355"/>
      <c r="F38" s="355"/>
      <c r="G38" s="355"/>
      <c r="H38" s="355"/>
      <c r="I38" s="355" t="s">
        <v>1003</v>
      </c>
      <c r="J38" s="355"/>
      <c r="K38" s="355"/>
      <c r="L38" s="355"/>
      <c r="M38" s="356"/>
    </row>
    <row r="39" spans="2:13" x14ac:dyDescent="0.25">
      <c r="B39" s="352"/>
      <c r="C39" s="353"/>
      <c r="D39" s="353"/>
      <c r="E39" s="353"/>
      <c r="F39" s="353"/>
      <c r="G39" s="353"/>
      <c r="H39" s="353"/>
      <c r="I39" s="353"/>
      <c r="J39" s="353"/>
      <c r="K39" s="353"/>
      <c r="L39" s="353"/>
      <c r="M39" s="354"/>
    </row>
    <row r="40" spans="2:13" ht="15.75" thickBot="1" x14ac:dyDescent="0.3">
      <c r="B40" s="358" t="s">
        <v>29</v>
      </c>
      <c r="C40" s="359"/>
      <c r="D40" s="359"/>
      <c r="E40" s="359" t="s">
        <v>98</v>
      </c>
      <c r="F40" s="359"/>
      <c r="G40" s="359"/>
      <c r="H40" s="359"/>
      <c r="I40" s="359"/>
      <c r="J40" s="359" t="s">
        <v>99</v>
      </c>
      <c r="K40" s="359"/>
      <c r="L40" s="359"/>
      <c r="M40" s="360"/>
    </row>
    <row r="41" spans="2:13" ht="30" customHeight="1" thickBot="1" x14ac:dyDescent="0.3">
      <c r="B41" s="18" t="s">
        <v>12</v>
      </c>
      <c r="C41" s="19" t="s">
        <v>13</v>
      </c>
      <c r="D41" s="19" t="s">
        <v>63</v>
      </c>
      <c r="E41" s="19" t="s">
        <v>64</v>
      </c>
      <c r="F41" s="137" t="s">
        <v>998</v>
      </c>
      <c r="G41" s="137" t="s">
        <v>999</v>
      </c>
      <c r="H41" s="19" t="s">
        <v>14</v>
      </c>
      <c r="I41" s="19" t="s">
        <v>15</v>
      </c>
      <c r="J41" s="19" t="s">
        <v>1102</v>
      </c>
      <c r="K41" s="19" t="s">
        <v>1103</v>
      </c>
      <c r="L41" s="19" t="s">
        <v>16</v>
      </c>
      <c r="M41" s="20" t="s">
        <v>17</v>
      </c>
    </row>
    <row r="42" spans="2:13" x14ac:dyDescent="0.25">
      <c r="B42" s="9"/>
      <c r="C42" s="9"/>
      <c r="D42" s="54" t="s">
        <v>675</v>
      </c>
      <c r="E42" s="9"/>
      <c r="F42" s="9"/>
      <c r="G42" s="9"/>
      <c r="H42" s="9"/>
      <c r="I42" s="9"/>
      <c r="J42" s="9"/>
      <c r="K42" s="9"/>
      <c r="L42" s="9"/>
      <c r="M42" s="9"/>
    </row>
    <row r="43" spans="2:13" x14ac:dyDescent="0.25">
      <c r="B43" s="8"/>
      <c r="C43" s="8"/>
      <c r="D43" s="34" t="s">
        <v>676</v>
      </c>
      <c r="E43" s="8" t="s">
        <v>677</v>
      </c>
      <c r="F43" s="52">
        <v>9.2430000000000003</v>
      </c>
      <c r="G43" s="52">
        <v>9.2430000000000003</v>
      </c>
      <c r="H43" s="155" t="s">
        <v>1008</v>
      </c>
      <c r="I43" s="156" t="s">
        <v>1006</v>
      </c>
      <c r="J43" s="163"/>
      <c r="K43" s="55">
        <v>9.2430000000000003</v>
      </c>
      <c r="L43" s="8" t="s">
        <v>958</v>
      </c>
      <c r="M43" s="8"/>
    </row>
    <row r="44" spans="2:13" x14ac:dyDescent="0.25">
      <c r="B44" s="8"/>
      <c r="C44" s="8"/>
      <c r="D44" s="57" t="s">
        <v>678</v>
      </c>
      <c r="E44" s="8"/>
      <c r="F44" s="92"/>
      <c r="G44" s="136"/>
      <c r="H44" s="155"/>
      <c r="I44" s="8"/>
      <c r="J44" s="8"/>
      <c r="K44" s="123"/>
      <c r="L44" s="8"/>
      <c r="M44" s="8"/>
    </row>
    <row r="45" spans="2:13" x14ac:dyDescent="0.25">
      <c r="B45" s="8"/>
      <c r="C45" s="8"/>
      <c r="D45" s="13" t="s">
        <v>1153</v>
      </c>
      <c r="E45" s="8" t="s">
        <v>680</v>
      </c>
      <c r="F45" s="179">
        <v>0.495</v>
      </c>
      <c r="G45" s="179">
        <v>0.495</v>
      </c>
      <c r="H45" s="155">
        <v>2</v>
      </c>
      <c r="I45" s="156" t="s">
        <v>1005</v>
      </c>
      <c r="J45" s="183">
        <v>0.495</v>
      </c>
      <c r="K45" s="55"/>
      <c r="L45" s="8" t="s">
        <v>957</v>
      </c>
      <c r="M45" s="8"/>
    </row>
    <row r="46" spans="2:13" x14ac:dyDescent="0.25">
      <c r="B46" s="8"/>
      <c r="C46" s="8"/>
      <c r="D46" s="13" t="s">
        <v>1154</v>
      </c>
      <c r="E46" s="8" t="s">
        <v>681</v>
      </c>
      <c r="F46" s="179">
        <v>0.42599999999999999</v>
      </c>
      <c r="G46" s="179">
        <v>0.42599999999999999</v>
      </c>
      <c r="H46" s="155">
        <v>2</v>
      </c>
      <c r="I46" s="156" t="s">
        <v>1005</v>
      </c>
      <c r="J46" s="183">
        <v>0.42599999999999999</v>
      </c>
      <c r="K46" s="55"/>
      <c r="L46" s="8" t="s">
        <v>957</v>
      </c>
      <c r="M46" s="8"/>
    </row>
    <row r="47" spans="2:13" x14ac:dyDescent="0.25">
      <c r="B47" s="8"/>
      <c r="C47" s="8"/>
      <c r="D47" s="13" t="s">
        <v>35</v>
      </c>
      <c r="E47" s="8" t="s">
        <v>681</v>
      </c>
      <c r="F47" s="179">
        <v>0.42599999999999999</v>
      </c>
      <c r="G47" s="179">
        <v>0.42599999999999999</v>
      </c>
      <c r="H47" s="155">
        <v>2</v>
      </c>
      <c r="I47" s="156" t="s">
        <v>1005</v>
      </c>
      <c r="J47" s="183">
        <v>0.42599999999999999</v>
      </c>
      <c r="K47" s="55"/>
      <c r="L47" s="8" t="s">
        <v>957</v>
      </c>
      <c r="M47" s="8"/>
    </row>
    <row r="48" spans="2:13" x14ac:dyDescent="0.25">
      <c r="B48" s="8"/>
      <c r="C48" s="8"/>
      <c r="D48" s="13" t="s">
        <v>148</v>
      </c>
      <c r="E48" s="8"/>
      <c r="F48" s="179">
        <v>0.29899999999999999</v>
      </c>
      <c r="G48" s="179">
        <v>0.29899999999999999</v>
      </c>
      <c r="H48" s="155">
        <v>2</v>
      </c>
      <c r="I48" s="156" t="s">
        <v>1005</v>
      </c>
      <c r="J48" s="183">
        <v>0.29899999999999999</v>
      </c>
      <c r="K48" s="55"/>
      <c r="L48" s="8" t="s">
        <v>957</v>
      </c>
      <c r="M48" s="8"/>
    </row>
    <row r="49" spans="2:13" x14ac:dyDescent="0.25">
      <c r="B49" s="8"/>
      <c r="C49" s="8"/>
      <c r="D49" s="13"/>
      <c r="E49" s="92" t="s">
        <v>89</v>
      </c>
      <c r="F49" s="43">
        <f>SUM(F45:F48)</f>
        <v>1.6459999999999999</v>
      </c>
      <c r="G49" s="43">
        <f>SUM(G45:G48)</f>
        <v>1.6459999999999999</v>
      </c>
      <c r="H49" s="155"/>
      <c r="I49" s="8"/>
      <c r="J49" s="8"/>
      <c r="K49" s="123"/>
      <c r="L49" s="8"/>
      <c r="M49" s="8"/>
    </row>
    <row r="50" spans="2:13" x14ac:dyDescent="0.25">
      <c r="B50" s="8"/>
      <c r="C50" s="8"/>
      <c r="D50" s="34" t="s">
        <v>682</v>
      </c>
      <c r="E50" s="8" t="s">
        <v>683</v>
      </c>
      <c r="F50" s="52">
        <v>6.3129999999999997</v>
      </c>
      <c r="G50" s="52">
        <v>6.3129999999999997</v>
      </c>
      <c r="H50" s="155" t="s">
        <v>1008</v>
      </c>
      <c r="I50" s="156" t="s">
        <v>1006</v>
      </c>
      <c r="J50" s="163"/>
      <c r="K50" s="55">
        <v>6.3129999999999997</v>
      </c>
      <c r="L50" s="8" t="s">
        <v>958</v>
      </c>
      <c r="M50" s="8"/>
    </row>
    <row r="51" spans="2:13" x14ac:dyDescent="0.25">
      <c r="B51" s="8"/>
      <c r="C51" s="8"/>
      <c r="D51" s="57" t="s">
        <v>684</v>
      </c>
      <c r="E51" s="8"/>
      <c r="F51" s="92"/>
      <c r="G51" s="136"/>
      <c r="H51" s="155"/>
      <c r="I51" s="8"/>
      <c r="J51" s="8"/>
      <c r="K51" s="123"/>
      <c r="L51" s="8"/>
      <c r="M51" s="8"/>
    </row>
    <row r="52" spans="2:13" x14ac:dyDescent="0.25">
      <c r="B52" s="8"/>
      <c r="C52" s="8"/>
      <c r="D52" s="13" t="s">
        <v>1153</v>
      </c>
      <c r="E52" s="8" t="s">
        <v>685</v>
      </c>
      <c r="F52" s="51">
        <v>0.28999999999999998</v>
      </c>
      <c r="G52" s="51">
        <v>0.28999999999999998</v>
      </c>
      <c r="H52" s="155">
        <v>2</v>
      </c>
      <c r="I52" s="156" t="s">
        <v>1005</v>
      </c>
      <c r="J52" s="51">
        <v>0.28999999999999998</v>
      </c>
      <c r="K52" s="55"/>
      <c r="L52" s="8" t="s">
        <v>957</v>
      </c>
      <c r="M52" s="8"/>
    </row>
    <row r="53" spans="2:13" x14ac:dyDescent="0.25">
      <c r="B53" s="8"/>
      <c r="C53" s="8"/>
      <c r="D53" s="13" t="s">
        <v>33</v>
      </c>
      <c r="E53" s="8" t="s">
        <v>686</v>
      </c>
      <c r="F53" s="92">
        <v>9.0999999999999998E-2</v>
      </c>
      <c r="G53" s="136">
        <v>9.0999999999999998E-2</v>
      </c>
      <c r="H53" s="155">
        <v>2</v>
      </c>
      <c r="I53" s="156" t="s">
        <v>1005</v>
      </c>
      <c r="J53" s="183">
        <v>9.0999999999999998E-2</v>
      </c>
      <c r="K53" s="55"/>
      <c r="L53" s="8" t="s">
        <v>957</v>
      </c>
      <c r="M53" s="8"/>
    </row>
    <row r="54" spans="2:13" x14ac:dyDescent="0.25">
      <c r="B54" s="8"/>
      <c r="C54" s="8"/>
      <c r="D54" s="13" t="s">
        <v>1154</v>
      </c>
      <c r="E54" s="8" t="s">
        <v>685</v>
      </c>
      <c r="F54" s="51">
        <v>0.28999999999999998</v>
      </c>
      <c r="G54" s="51">
        <v>0.28999999999999998</v>
      </c>
      <c r="H54" s="155">
        <v>2</v>
      </c>
      <c r="I54" s="156" t="s">
        <v>1005</v>
      </c>
      <c r="J54" s="51">
        <v>0.28999999999999998</v>
      </c>
      <c r="K54" s="55"/>
      <c r="L54" s="8" t="s">
        <v>957</v>
      </c>
      <c r="M54" s="8"/>
    </row>
    <row r="55" spans="2:13" x14ac:dyDescent="0.25">
      <c r="B55" s="8"/>
      <c r="C55" s="8"/>
      <c r="D55" s="13" t="s">
        <v>148</v>
      </c>
      <c r="E55" s="8"/>
      <c r="F55" s="51">
        <v>0.15</v>
      </c>
      <c r="G55" s="51">
        <v>0.15</v>
      </c>
      <c r="H55" s="155">
        <v>2</v>
      </c>
      <c r="I55" s="156" t="s">
        <v>1005</v>
      </c>
      <c r="J55" s="51">
        <v>0.15</v>
      </c>
      <c r="K55" s="55"/>
      <c r="L55" s="8" t="s">
        <v>957</v>
      </c>
      <c r="M55" s="8"/>
    </row>
    <row r="56" spans="2:13" x14ac:dyDescent="0.25">
      <c r="B56" s="8"/>
      <c r="C56" s="8"/>
      <c r="D56" s="13"/>
      <c r="E56" s="92" t="s">
        <v>89</v>
      </c>
      <c r="F56" s="43">
        <f>SUM(F52:F55)</f>
        <v>0.82100000000000006</v>
      </c>
      <c r="G56" s="43">
        <f>SUM(G52:G55)</f>
        <v>0.82100000000000006</v>
      </c>
      <c r="H56" s="155"/>
      <c r="I56" s="8"/>
      <c r="J56" s="8"/>
      <c r="K56" s="123"/>
      <c r="L56" s="8"/>
      <c r="M56" s="8"/>
    </row>
    <row r="57" spans="2:13" x14ac:dyDescent="0.25">
      <c r="B57" s="8"/>
      <c r="C57" s="8"/>
      <c r="D57" s="34" t="s">
        <v>706</v>
      </c>
      <c r="E57" s="8" t="s">
        <v>687</v>
      </c>
      <c r="F57" s="52">
        <v>3.4510000000000001</v>
      </c>
      <c r="G57" s="52">
        <v>3.4510000000000001</v>
      </c>
      <c r="H57" s="155">
        <v>2</v>
      </c>
      <c r="I57" s="156" t="s">
        <v>1005</v>
      </c>
      <c r="J57" s="163"/>
      <c r="K57" s="55">
        <v>3.4510000000000001</v>
      </c>
      <c r="L57" s="8" t="s">
        <v>957</v>
      </c>
      <c r="M57" s="8"/>
    </row>
    <row r="58" spans="2:13" x14ac:dyDescent="0.25">
      <c r="B58" s="8"/>
      <c r="C58" s="8"/>
      <c r="D58" s="57" t="s">
        <v>688</v>
      </c>
      <c r="E58" s="164"/>
      <c r="F58" s="161"/>
      <c r="G58" s="161"/>
      <c r="H58" s="155"/>
      <c r="I58" s="8"/>
      <c r="J58" s="136"/>
      <c r="K58" s="55"/>
      <c r="L58" s="8"/>
      <c r="M58" s="162"/>
    </row>
    <row r="59" spans="2:13" x14ac:dyDescent="0.25">
      <c r="B59" s="8"/>
      <c r="C59" s="8"/>
      <c r="D59" s="13" t="s">
        <v>1153</v>
      </c>
      <c r="E59" s="122" t="s">
        <v>1044</v>
      </c>
      <c r="F59" s="179">
        <v>0.19900000000000001</v>
      </c>
      <c r="G59" s="179">
        <v>0.19900000000000001</v>
      </c>
      <c r="H59" s="168">
        <v>2</v>
      </c>
      <c r="I59" s="156" t="s">
        <v>1005</v>
      </c>
      <c r="J59" s="183">
        <v>0.19900000000000001</v>
      </c>
      <c r="K59" s="55"/>
      <c r="L59" s="8" t="s">
        <v>957</v>
      </c>
      <c r="M59" s="162"/>
    </row>
    <row r="60" spans="2:13" x14ac:dyDescent="0.25">
      <c r="B60" s="8"/>
      <c r="C60" s="8"/>
      <c r="D60" s="13" t="s">
        <v>34</v>
      </c>
      <c r="E60" s="122" t="s">
        <v>1045</v>
      </c>
      <c r="F60" s="51">
        <v>0.26</v>
      </c>
      <c r="G60" s="51">
        <v>0.26</v>
      </c>
      <c r="H60" s="168">
        <v>2</v>
      </c>
      <c r="I60" s="156" t="s">
        <v>1005</v>
      </c>
      <c r="J60" s="51">
        <v>0.26</v>
      </c>
      <c r="K60" s="55"/>
      <c r="L60" s="8" t="s">
        <v>957</v>
      </c>
      <c r="M60" s="162"/>
    </row>
    <row r="61" spans="2:13" x14ac:dyDescent="0.25">
      <c r="B61" s="8"/>
      <c r="C61" s="8"/>
      <c r="D61" s="13" t="s">
        <v>715</v>
      </c>
      <c r="E61" s="122" t="s">
        <v>1046</v>
      </c>
      <c r="F61" s="51">
        <v>9.6000000000000002E-2</v>
      </c>
      <c r="G61" s="51">
        <v>9.6000000000000002E-2</v>
      </c>
      <c r="H61" s="168">
        <v>2</v>
      </c>
      <c r="I61" s="156" t="s">
        <v>1005</v>
      </c>
      <c r="J61" s="51">
        <v>9.6000000000000002E-2</v>
      </c>
      <c r="K61" s="55"/>
      <c r="L61" s="8" t="s">
        <v>957</v>
      </c>
      <c r="M61" s="162"/>
    </row>
    <row r="62" spans="2:13" x14ac:dyDescent="0.25">
      <c r="B62" s="8"/>
      <c r="C62" s="8"/>
      <c r="D62" s="13" t="s">
        <v>37</v>
      </c>
      <c r="E62" s="122" t="s">
        <v>1047</v>
      </c>
      <c r="F62" s="51">
        <v>0.28000000000000003</v>
      </c>
      <c r="G62" s="51">
        <v>0.28000000000000003</v>
      </c>
      <c r="H62" s="168">
        <v>2</v>
      </c>
      <c r="I62" s="156" t="s">
        <v>1005</v>
      </c>
      <c r="J62" s="51">
        <v>0.28000000000000003</v>
      </c>
      <c r="K62" s="55"/>
      <c r="L62" s="8" t="s">
        <v>957</v>
      </c>
      <c r="M62" s="162"/>
    </row>
    <row r="63" spans="2:13" x14ac:dyDescent="0.25">
      <c r="B63" s="8"/>
      <c r="C63" s="8"/>
      <c r="D63" s="13" t="s">
        <v>1154</v>
      </c>
      <c r="E63" s="8" t="s">
        <v>1048</v>
      </c>
      <c r="F63" s="179">
        <v>0.17199999999999999</v>
      </c>
      <c r="G63" s="179">
        <v>0.17199999999999999</v>
      </c>
      <c r="H63" s="168">
        <v>2</v>
      </c>
      <c r="I63" s="156" t="s">
        <v>1005</v>
      </c>
      <c r="J63" s="183">
        <v>0.17199999999999999</v>
      </c>
      <c r="K63" s="55"/>
      <c r="L63" s="8" t="s">
        <v>957</v>
      </c>
      <c r="M63" s="8"/>
    </row>
    <row r="64" spans="2:13" x14ac:dyDescent="0.25">
      <c r="B64" s="8"/>
      <c r="C64" s="8"/>
      <c r="D64" s="13" t="s">
        <v>148</v>
      </c>
      <c r="E64" s="55"/>
      <c r="F64" s="179">
        <v>0.38500000000000001</v>
      </c>
      <c r="G64" s="179">
        <v>0.38500000000000001</v>
      </c>
      <c r="H64" s="168">
        <v>2</v>
      </c>
      <c r="I64" s="156" t="s">
        <v>1005</v>
      </c>
      <c r="J64" s="183">
        <v>0.38500000000000001</v>
      </c>
      <c r="K64" s="55"/>
      <c r="L64" s="8" t="s">
        <v>957</v>
      </c>
      <c r="M64" s="162"/>
    </row>
    <row r="65" spans="2:13" x14ac:dyDescent="0.25">
      <c r="B65" s="8"/>
      <c r="C65" s="8"/>
      <c r="D65" s="57"/>
      <c r="E65" s="168" t="s">
        <v>89</v>
      </c>
      <c r="F65" s="43">
        <f>SUM(F59:F64)</f>
        <v>1.3920000000000001</v>
      </c>
      <c r="G65" s="43">
        <f>SUM(G59:G64)</f>
        <v>1.3920000000000001</v>
      </c>
      <c r="H65" s="167"/>
      <c r="I65" s="8"/>
      <c r="J65" s="167"/>
      <c r="K65" s="55"/>
      <c r="L65" s="8"/>
      <c r="M65" s="162"/>
    </row>
    <row r="66" spans="2:13" x14ac:dyDescent="0.25">
      <c r="B66" s="8"/>
      <c r="C66" s="8"/>
      <c r="D66" s="34" t="s">
        <v>707</v>
      </c>
      <c r="E66" s="8" t="s">
        <v>1087</v>
      </c>
      <c r="F66" s="52">
        <v>4.0170000000000003</v>
      </c>
      <c r="G66" s="52">
        <v>4.0170000000000003</v>
      </c>
      <c r="H66" s="155" t="s">
        <v>1008</v>
      </c>
      <c r="I66" s="156" t="s">
        <v>1006</v>
      </c>
      <c r="J66" s="163"/>
      <c r="K66" s="55">
        <v>4.0170000000000003</v>
      </c>
      <c r="L66" s="8" t="s">
        <v>958</v>
      </c>
      <c r="M66" s="8" t="s">
        <v>1086</v>
      </c>
    </row>
    <row r="67" spans="2:13" x14ac:dyDescent="0.25">
      <c r="B67" s="8"/>
      <c r="C67" s="8"/>
      <c r="D67" s="57" t="s">
        <v>708</v>
      </c>
      <c r="E67" s="8"/>
      <c r="F67" s="8"/>
      <c r="G67" s="8"/>
      <c r="H67" s="155"/>
      <c r="I67" s="8"/>
      <c r="J67" s="136"/>
      <c r="K67" s="55"/>
      <c r="L67" s="8"/>
      <c r="M67" s="8"/>
    </row>
    <row r="68" spans="2:13" x14ac:dyDescent="0.25">
      <c r="B68" s="8"/>
      <c r="C68" s="8"/>
      <c r="D68" s="13" t="s">
        <v>1153</v>
      </c>
      <c r="E68" s="8" t="s">
        <v>689</v>
      </c>
      <c r="F68" s="92">
        <v>0.254</v>
      </c>
      <c r="G68" s="136">
        <v>0.254</v>
      </c>
      <c r="H68" s="155" t="s">
        <v>1008</v>
      </c>
      <c r="I68" s="156" t="s">
        <v>1006</v>
      </c>
      <c r="J68" s="183">
        <v>0.254</v>
      </c>
      <c r="K68" s="55"/>
      <c r="L68" s="8" t="s">
        <v>958</v>
      </c>
      <c r="M68" s="8"/>
    </row>
    <row r="69" spans="2:13" x14ac:dyDescent="0.25">
      <c r="B69" s="8"/>
      <c r="C69" s="8"/>
      <c r="D69" s="13" t="s">
        <v>33</v>
      </c>
      <c r="E69" s="8" t="s">
        <v>690</v>
      </c>
      <c r="F69" s="92">
        <v>0.152</v>
      </c>
      <c r="G69" s="136">
        <v>0.152</v>
      </c>
      <c r="H69" s="155" t="s">
        <v>1008</v>
      </c>
      <c r="I69" s="156" t="s">
        <v>1006</v>
      </c>
      <c r="J69" s="183">
        <v>0.152</v>
      </c>
      <c r="K69" s="55"/>
      <c r="L69" s="8" t="s">
        <v>958</v>
      </c>
      <c r="M69" s="8"/>
    </row>
    <row r="70" spans="2:13" x14ac:dyDescent="0.25">
      <c r="B70" s="8"/>
      <c r="C70" s="8"/>
      <c r="D70" s="13" t="s">
        <v>1154</v>
      </c>
      <c r="E70" s="8" t="s">
        <v>691</v>
      </c>
      <c r="F70" s="92">
        <v>0.17699999999999999</v>
      </c>
      <c r="G70" s="136">
        <v>0.17699999999999999</v>
      </c>
      <c r="H70" s="155" t="s">
        <v>1008</v>
      </c>
      <c r="I70" s="156" t="s">
        <v>1006</v>
      </c>
      <c r="J70" s="183">
        <v>0.17699999999999999</v>
      </c>
      <c r="K70" s="55"/>
      <c r="L70" s="8" t="s">
        <v>958</v>
      </c>
      <c r="M70" s="8"/>
    </row>
    <row r="71" spans="2:13" x14ac:dyDescent="0.25">
      <c r="B71" s="8"/>
      <c r="C71" s="8"/>
      <c r="D71" s="13" t="s">
        <v>692</v>
      </c>
      <c r="E71" s="8" t="s">
        <v>693</v>
      </c>
      <c r="F71" s="92">
        <v>8.6999999999999994E-2</v>
      </c>
      <c r="G71" s="136">
        <v>8.6999999999999994E-2</v>
      </c>
      <c r="H71" s="155" t="s">
        <v>1008</v>
      </c>
      <c r="I71" s="156" t="s">
        <v>1006</v>
      </c>
      <c r="J71" s="183">
        <v>8.6999999999999994E-2</v>
      </c>
      <c r="K71" s="55"/>
      <c r="L71" s="8" t="s">
        <v>958</v>
      </c>
      <c r="M71" s="8"/>
    </row>
    <row r="72" spans="2:13" x14ac:dyDescent="0.25">
      <c r="B72" s="8"/>
      <c r="C72" s="8"/>
      <c r="D72" s="13" t="s">
        <v>35</v>
      </c>
      <c r="E72" s="8" t="s">
        <v>693</v>
      </c>
      <c r="F72" s="92">
        <v>8.6999999999999994E-2</v>
      </c>
      <c r="G72" s="136">
        <v>8.6999999999999994E-2</v>
      </c>
      <c r="H72" s="155" t="s">
        <v>1008</v>
      </c>
      <c r="I72" s="156" t="s">
        <v>1006</v>
      </c>
      <c r="J72" s="183">
        <v>8.6999999999999994E-2</v>
      </c>
      <c r="K72" s="55"/>
      <c r="L72" s="8" t="s">
        <v>958</v>
      </c>
      <c r="M72" s="8"/>
    </row>
    <row r="73" spans="2:13" x14ac:dyDescent="0.25">
      <c r="B73" s="8"/>
      <c r="C73" s="8"/>
      <c r="D73" s="13" t="s">
        <v>148</v>
      </c>
      <c r="E73" s="8"/>
      <c r="F73" s="51">
        <v>0.122</v>
      </c>
      <c r="G73" s="51">
        <v>0.122</v>
      </c>
      <c r="H73" s="155" t="s">
        <v>1008</v>
      </c>
      <c r="I73" s="156" t="s">
        <v>1006</v>
      </c>
      <c r="J73" s="51">
        <v>0.122</v>
      </c>
      <c r="K73" s="55"/>
      <c r="L73" s="8" t="s">
        <v>958</v>
      </c>
      <c r="M73" s="8"/>
    </row>
    <row r="74" spans="2:13" x14ac:dyDescent="0.25">
      <c r="B74" s="8"/>
      <c r="C74" s="8"/>
      <c r="D74" s="13"/>
      <c r="E74" s="92" t="s">
        <v>89</v>
      </c>
      <c r="F74" s="43">
        <f>SUM(F68:F73)</f>
        <v>0.87899999999999989</v>
      </c>
      <c r="G74" s="43">
        <f>SUM(G68:G73)</f>
        <v>0.87899999999999989</v>
      </c>
      <c r="H74" s="155"/>
      <c r="I74" s="8"/>
      <c r="J74" s="136"/>
      <c r="K74" s="55"/>
      <c r="L74" s="8"/>
      <c r="M74" s="8"/>
    </row>
    <row r="75" spans="2:13" x14ac:dyDescent="0.25">
      <c r="B75" s="8"/>
      <c r="C75" s="8"/>
      <c r="D75" s="34" t="s">
        <v>709</v>
      </c>
      <c r="E75" s="8" t="s">
        <v>694</v>
      </c>
      <c r="F75" s="52">
        <v>0.34599999999999997</v>
      </c>
      <c r="G75" s="52">
        <v>0.34599999999999997</v>
      </c>
      <c r="H75" s="155" t="s">
        <v>1008</v>
      </c>
      <c r="I75" s="156" t="s">
        <v>1006</v>
      </c>
      <c r="J75" s="163"/>
      <c r="K75" s="55">
        <v>0.34599999999999997</v>
      </c>
      <c r="L75" s="8" t="s">
        <v>958</v>
      </c>
      <c r="M75" s="8"/>
    </row>
    <row r="76" spans="2:13" x14ac:dyDescent="0.25">
      <c r="B76" s="9"/>
      <c r="C76" s="9"/>
      <c r="D76" s="54" t="s">
        <v>1009</v>
      </c>
      <c r="E76" s="9"/>
      <c r="F76" s="9"/>
      <c r="G76" s="9"/>
      <c r="H76" s="155"/>
      <c r="I76" s="9"/>
      <c r="J76" s="17"/>
      <c r="K76" s="133"/>
      <c r="L76" s="9"/>
      <c r="M76" s="9"/>
    </row>
    <row r="77" spans="2:13" x14ac:dyDescent="0.25">
      <c r="B77" s="8"/>
      <c r="C77" s="8"/>
      <c r="D77" s="34" t="s">
        <v>695</v>
      </c>
      <c r="E77" s="8" t="s">
        <v>696</v>
      </c>
      <c r="F77" s="52">
        <v>11.207000000000001</v>
      </c>
      <c r="G77" s="52">
        <v>11.207000000000001</v>
      </c>
      <c r="H77" s="155" t="s">
        <v>1008</v>
      </c>
      <c r="I77" s="156" t="s">
        <v>1006</v>
      </c>
      <c r="J77" s="163"/>
      <c r="K77" s="55">
        <v>11.207000000000001</v>
      </c>
      <c r="L77" s="8" t="s">
        <v>958</v>
      </c>
      <c r="M77" s="8"/>
    </row>
    <row r="78" spans="2:13" x14ac:dyDescent="0.25">
      <c r="B78" s="8"/>
      <c r="C78" s="8"/>
      <c r="D78" s="57" t="s">
        <v>697</v>
      </c>
      <c r="E78" s="8"/>
      <c r="F78" s="8"/>
      <c r="G78" s="8"/>
      <c r="H78" s="155"/>
      <c r="I78" s="8"/>
      <c r="J78" s="136"/>
      <c r="K78" s="55"/>
      <c r="L78" s="8"/>
      <c r="M78" s="8"/>
    </row>
    <row r="79" spans="2:13" x14ac:dyDescent="0.25">
      <c r="B79" s="8"/>
      <c r="C79" s="8"/>
      <c r="D79" s="13" t="s">
        <v>1153</v>
      </c>
      <c r="E79" s="8" t="s">
        <v>698</v>
      </c>
      <c r="F79" s="92">
        <v>0.20300000000000001</v>
      </c>
      <c r="G79" s="136">
        <v>0.20300000000000001</v>
      </c>
      <c r="H79" s="155">
        <v>2</v>
      </c>
      <c r="I79" s="156" t="s">
        <v>1005</v>
      </c>
      <c r="J79" s="183">
        <v>0.20300000000000001</v>
      </c>
      <c r="K79" s="55"/>
      <c r="L79" s="8" t="s">
        <v>957</v>
      </c>
      <c r="M79" s="8"/>
    </row>
    <row r="80" spans="2:13" x14ac:dyDescent="0.25">
      <c r="B80" s="8"/>
      <c r="C80" s="8"/>
      <c r="D80" s="13" t="s">
        <v>1154</v>
      </c>
      <c r="E80" s="8" t="s">
        <v>699</v>
      </c>
      <c r="F80" s="51">
        <v>0.13</v>
      </c>
      <c r="G80" s="51">
        <v>0.13</v>
      </c>
      <c r="H80" s="155">
        <v>2</v>
      </c>
      <c r="I80" s="156" t="s">
        <v>1005</v>
      </c>
      <c r="J80" s="51">
        <v>0.13</v>
      </c>
      <c r="K80" s="55"/>
      <c r="L80" s="8" t="s">
        <v>957</v>
      </c>
      <c r="M80" s="8"/>
    </row>
    <row r="81" spans="2:13" x14ac:dyDescent="0.25">
      <c r="B81" s="8"/>
      <c r="C81" s="8"/>
      <c r="D81" s="13" t="s">
        <v>692</v>
      </c>
      <c r="E81" s="8" t="s">
        <v>700</v>
      </c>
      <c r="F81" s="51">
        <v>0.126</v>
      </c>
      <c r="G81" s="51">
        <v>0.126</v>
      </c>
      <c r="H81" s="155">
        <v>2</v>
      </c>
      <c r="I81" s="156" t="s">
        <v>1005</v>
      </c>
      <c r="J81" s="51">
        <v>0.126</v>
      </c>
      <c r="K81" s="55"/>
      <c r="L81" s="8" t="s">
        <v>957</v>
      </c>
      <c r="M81" s="8"/>
    </row>
    <row r="82" spans="2:13" x14ac:dyDescent="0.25">
      <c r="B82" s="8"/>
      <c r="C82" s="8"/>
      <c r="D82" s="13" t="s">
        <v>148</v>
      </c>
      <c r="E82" s="8"/>
      <c r="F82" s="51">
        <v>0.193</v>
      </c>
      <c r="G82" s="51">
        <v>0.193</v>
      </c>
      <c r="H82" s="155">
        <v>2</v>
      </c>
      <c r="I82" s="156" t="s">
        <v>1005</v>
      </c>
      <c r="J82" s="51">
        <v>0.193</v>
      </c>
      <c r="K82" s="55"/>
      <c r="L82" s="8" t="s">
        <v>957</v>
      </c>
      <c r="M82" s="8"/>
    </row>
    <row r="83" spans="2:13" x14ac:dyDescent="0.25">
      <c r="B83" s="8"/>
      <c r="C83" s="8"/>
      <c r="D83" s="13"/>
      <c r="E83" s="92" t="s">
        <v>89</v>
      </c>
      <c r="F83" s="43">
        <f>SUM(F79:F82)</f>
        <v>0.65200000000000002</v>
      </c>
      <c r="G83" s="43">
        <f>SUM(G79:G82)</f>
        <v>0.65200000000000002</v>
      </c>
      <c r="H83" s="155"/>
      <c r="I83" s="8"/>
      <c r="J83" s="136"/>
      <c r="K83" s="55"/>
      <c r="L83" s="8"/>
      <c r="M83" s="8"/>
    </row>
    <row r="84" spans="2:13" x14ac:dyDescent="0.25">
      <c r="B84" s="8"/>
      <c r="C84" s="8"/>
      <c r="D84" s="34" t="s">
        <v>701</v>
      </c>
      <c r="E84" s="8" t="s">
        <v>702</v>
      </c>
      <c r="F84" s="52">
        <v>6.218</v>
      </c>
      <c r="G84" s="52">
        <v>6.218</v>
      </c>
      <c r="H84" s="155" t="s">
        <v>1008</v>
      </c>
      <c r="I84" s="156" t="s">
        <v>1006</v>
      </c>
      <c r="J84" s="163"/>
      <c r="K84" s="55">
        <v>6.218</v>
      </c>
      <c r="L84" s="8" t="s">
        <v>958</v>
      </c>
      <c r="M84" s="8"/>
    </row>
    <row r="85" spans="2:13" x14ac:dyDescent="0.25">
      <c r="B85" s="8"/>
      <c r="C85" s="8"/>
      <c r="D85" s="34" t="s">
        <v>703</v>
      </c>
      <c r="E85" s="8" t="s">
        <v>704</v>
      </c>
      <c r="F85" s="52">
        <v>4.8170000000000002</v>
      </c>
      <c r="G85" s="52">
        <v>4.8170000000000002</v>
      </c>
      <c r="H85" s="155" t="s">
        <v>1008</v>
      </c>
      <c r="I85" s="156" t="s">
        <v>1006</v>
      </c>
      <c r="J85" s="163"/>
      <c r="K85" s="55">
        <v>4.8170000000000002</v>
      </c>
      <c r="L85" s="8" t="s">
        <v>958</v>
      </c>
      <c r="M85" s="8"/>
    </row>
    <row r="86" spans="2:13" ht="15.75" thickBot="1" x14ac:dyDescent="0.3">
      <c r="B86" s="8"/>
      <c r="C86" s="8"/>
      <c r="D86" s="8"/>
      <c r="E86" s="8"/>
      <c r="F86" s="8"/>
      <c r="G86" s="8"/>
      <c r="H86" s="155"/>
      <c r="I86" s="8"/>
      <c r="J86" s="8"/>
      <c r="K86" s="8"/>
      <c r="L86" s="8"/>
      <c r="M86" s="8"/>
    </row>
    <row r="87" spans="2:13" ht="15.75" thickBot="1" x14ac:dyDescent="0.3">
      <c r="B87" s="157" t="s">
        <v>1007</v>
      </c>
      <c r="E87" s="95" t="s">
        <v>705</v>
      </c>
      <c r="F87" s="142">
        <f>SUM(F85,F84,F83,F77,F75,F74,F66,F65,F57,F56,F50,F49,F43,F33,F28,F27,F15,F14)</f>
        <v>69.429000000000002</v>
      </c>
      <c r="G87" s="142">
        <f>SUM(G85,G84,G83,G77,G75,G74,G66,G65,G57,G56,G50,G49,G43,G33,G28,G27,G15,G14)</f>
        <v>69.429000000000002</v>
      </c>
      <c r="I87" s="203" t="s">
        <v>11</v>
      </c>
      <c r="J87" s="215">
        <f>SUM(,J9:J33,J43:J86)</f>
        <v>12.407999999999992</v>
      </c>
      <c r="K87" s="215">
        <f>SUM(,K9:K33,K43:K86)</f>
        <v>57.020999999999994</v>
      </c>
      <c r="L87" s="61" t="s">
        <v>1035</v>
      </c>
      <c r="M87" s="219">
        <f>J87+K87</f>
        <v>69.428999999999988</v>
      </c>
    </row>
    <row r="88" spans="2:13" x14ac:dyDescent="0.25">
      <c r="B88" s="129" t="s">
        <v>30</v>
      </c>
      <c r="C88" s="129"/>
      <c r="D88" s="129"/>
      <c r="E88" s="110" t="s">
        <v>1000</v>
      </c>
      <c r="F88" s="141">
        <f>SUM(F27,F33,F49,F56:F57,F83)</f>
        <v>11.45</v>
      </c>
      <c r="G88" s="141">
        <f>SUM(G27,G33,G49,G56:G57,G83)</f>
        <v>11.45</v>
      </c>
      <c r="H88" s="129"/>
      <c r="I88" s="205" t="s">
        <v>1104</v>
      </c>
      <c r="J88" s="206">
        <f>SUM(J9:J33,J43:J85)*1000*5</f>
        <v>62039.999999999964</v>
      </c>
      <c r="K88" s="206">
        <f>SUM(K9:K32,K43:K85)*1000*6</f>
        <v>342125.99999999994</v>
      </c>
      <c r="L88" s="207" t="s">
        <v>1155</v>
      </c>
      <c r="M88" s="198">
        <f>SUM(J9:J13,K15,K28,K43,K50,K66,J68:J73,K75,K77,K84:K85)</f>
        <v>56.586999999999996</v>
      </c>
    </row>
    <row r="89" spans="2:13" x14ac:dyDescent="0.25">
      <c r="E89" s="140" t="s">
        <v>1002</v>
      </c>
      <c r="F89" s="141">
        <f>F87-F88</f>
        <v>57.978999999999999</v>
      </c>
      <c r="G89" s="141">
        <f>G87-G88</f>
        <v>57.978999999999999</v>
      </c>
      <c r="I89" s="208"/>
      <c r="J89" s="209" t="s">
        <v>1105</v>
      </c>
      <c r="K89" s="210">
        <f>J88+K88</f>
        <v>404165.99999999988</v>
      </c>
      <c r="L89" s="211"/>
    </row>
    <row r="90" spans="2:13" x14ac:dyDescent="0.25">
      <c r="I90" s="194"/>
      <c r="J90" s="186" t="s">
        <v>1126</v>
      </c>
      <c r="K90" s="184">
        <f>SUM(K89/10000)</f>
        <v>40.416599999999988</v>
      </c>
      <c r="L90" s="185" t="s">
        <v>1107</v>
      </c>
    </row>
    <row r="91" spans="2:13" x14ac:dyDescent="0.25">
      <c r="E91" s="110" t="s">
        <v>1033</v>
      </c>
      <c r="F91" s="134">
        <f>F27+F33+F49+F56+F57+F83</f>
        <v>11.45</v>
      </c>
      <c r="G91" s="134">
        <f>G27+G33+G49+G56+G57+G83</f>
        <v>11.45</v>
      </c>
      <c r="H91" t="s">
        <v>1035</v>
      </c>
      <c r="I91" s="194"/>
      <c r="J91" s="186" t="s">
        <v>1125</v>
      </c>
      <c r="K91" s="184">
        <f>(SUM(J9:J13,J68:J73)*5*0.1)+SUM(K15,K28,K43,K50,K66,K75:K77,K84:K85)*6*0.1</f>
        <v>33.650500000000001</v>
      </c>
      <c r="L91" s="185" t="s">
        <v>1107</v>
      </c>
    </row>
    <row r="92" spans="2:13" x14ac:dyDescent="0.25">
      <c r="E92" s="110" t="s">
        <v>1034</v>
      </c>
      <c r="F92" s="134">
        <f>F87-F91</f>
        <v>57.978999999999999</v>
      </c>
      <c r="G92" s="134">
        <f>G87-G91</f>
        <v>57.978999999999999</v>
      </c>
      <c r="H92" t="s">
        <v>1035</v>
      </c>
      <c r="I92" s="193"/>
      <c r="J92" s="188" t="s">
        <v>1108</v>
      </c>
      <c r="K92" s="184">
        <v>4</v>
      </c>
      <c r="L92" s="185" t="s">
        <v>1109</v>
      </c>
    </row>
    <row r="93" spans="2:13" x14ac:dyDescent="0.25">
      <c r="I93" s="193"/>
      <c r="J93" s="188" t="s">
        <v>1110</v>
      </c>
      <c r="K93" s="184">
        <v>1.8</v>
      </c>
      <c r="L93" s="185" t="s">
        <v>1109</v>
      </c>
    </row>
    <row r="94" spans="2:13" x14ac:dyDescent="0.25">
      <c r="I94" s="192"/>
      <c r="J94" s="188" t="s">
        <v>1111</v>
      </c>
      <c r="K94" s="184">
        <v>300</v>
      </c>
      <c r="L94" s="185" t="s">
        <v>1109</v>
      </c>
    </row>
    <row r="95" spans="2:13" x14ac:dyDescent="0.25">
      <c r="I95" s="192"/>
      <c r="J95" s="189" t="s">
        <v>1115</v>
      </c>
      <c r="K95" s="191">
        <f>K90*K92</f>
        <v>161.66639999999995</v>
      </c>
      <c r="L95" s="187" t="s">
        <v>1112</v>
      </c>
    </row>
    <row r="96" spans="2:13" x14ac:dyDescent="0.25">
      <c r="I96" s="70"/>
      <c r="J96" s="189" t="s">
        <v>1116</v>
      </c>
      <c r="K96" s="191">
        <f>K91*K93</f>
        <v>60.570900000000002</v>
      </c>
      <c r="L96" s="187" t="s">
        <v>1112</v>
      </c>
    </row>
    <row r="97" spans="9:12" x14ac:dyDescent="0.25">
      <c r="I97" s="70"/>
      <c r="J97" s="190" t="s">
        <v>1113</v>
      </c>
      <c r="K97" s="191">
        <f>K90*K94/1000</f>
        <v>12.124979999999995</v>
      </c>
      <c r="L97" s="187" t="s">
        <v>1114</v>
      </c>
    </row>
  </sheetData>
  <mergeCells count="14">
    <mergeCell ref="B37:M37"/>
    <mergeCell ref="B38:H38"/>
    <mergeCell ref="I38:M38"/>
    <mergeCell ref="B39:M39"/>
    <mergeCell ref="B40:D40"/>
    <mergeCell ref="E40:I40"/>
    <mergeCell ref="J40:M40"/>
    <mergeCell ref="B2:M2"/>
    <mergeCell ref="B3:H3"/>
    <mergeCell ref="I3:M3"/>
    <mergeCell ref="B4:M4"/>
    <mergeCell ref="B5:D5"/>
    <mergeCell ref="E5:I5"/>
    <mergeCell ref="J5:M5"/>
  </mergeCells>
  <pageMargins left="0.25" right="0.25" top="0.75" bottom="0.75" header="0.3" footer="0.3"/>
  <pageSetup paperSize="9" scale="75"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749B-4886-4302-95DE-70A3CD9A146C}">
  <sheetPr>
    <tabColor rgb="FFFFFF00"/>
  </sheetPr>
  <dimension ref="A1:K49"/>
  <sheetViews>
    <sheetView zoomScale="115" zoomScaleNormal="115" workbookViewId="0">
      <selection activeCell="G49" sqref="G49"/>
    </sheetView>
  </sheetViews>
  <sheetFormatPr defaultRowHeight="15" x14ac:dyDescent="0.25"/>
  <cols>
    <col min="1" max="1" width="13.7109375" style="337" customWidth="1"/>
    <col min="2" max="2" width="23.140625" style="256" customWidth="1"/>
    <col min="3" max="3" width="7.28515625" style="256" customWidth="1"/>
    <col min="4" max="4" width="11.5703125" style="256" customWidth="1"/>
    <col min="5" max="6" width="8.5703125" style="257" customWidth="1"/>
    <col min="7" max="7" width="14.42578125" style="257" customWidth="1"/>
    <col min="8" max="8" width="10.28515625" style="257" customWidth="1"/>
    <col min="9" max="9" width="9.85546875" style="252" customWidth="1"/>
    <col min="10" max="256" width="9.140625" style="252"/>
    <col min="257" max="257" width="13.7109375" style="252" customWidth="1"/>
    <col min="258" max="258" width="23.140625" style="252" customWidth="1"/>
    <col min="259" max="259" width="6.28515625" style="252" customWidth="1"/>
    <col min="260" max="260" width="11.5703125" style="252" customWidth="1"/>
    <col min="261" max="261" width="7.28515625" style="252" customWidth="1"/>
    <col min="262" max="262" width="7.42578125" style="252" customWidth="1"/>
    <col min="263" max="263" width="14.42578125" style="252" customWidth="1"/>
    <col min="264" max="264" width="10.28515625" style="252" customWidth="1"/>
    <col min="265" max="265" width="9.85546875" style="252" customWidth="1"/>
    <col min="266" max="512" width="9.140625" style="252"/>
    <col min="513" max="513" width="13.7109375" style="252" customWidth="1"/>
    <col min="514" max="514" width="23.140625" style="252" customWidth="1"/>
    <col min="515" max="515" width="6.28515625" style="252" customWidth="1"/>
    <col min="516" max="516" width="11.5703125" style="252" customWidth="1"/>
    <col min="517" max="517" width="7.28515625" style="252" customWidth="1"/>
    <col min="518" max="518" width="7.42578125" style="252" customWidth="1"/>
    <col min="519" max="519" width="14.42578125" style="252" customWidth="1"/>
    <col min="520" max="520" width="10.28515625" style="252" customWidth="1"/>
    <col min="521" max="521" width="9.85546875" style="252" customWidth="1"/>
    <col min="522" max="768" width="9.140625" style="252"/>
    <col min="769" max="769" width="13.7109375" style="252" customWidth="1"/>
    <col min="770" max="770" width="23.140625" style="252" customWidth="1"/>
    <col min="771" max="771" width="6.28515625" style="252" customWidth="1"/>
    <col min="772" max="772" width="11.5703125" style="252" customWidth="1"/>
    <col min="773" max="773" width="7.28515625" style="252" customWidth="1"/>
    <col min="774" max="774" width="7.42578125" style="252" customWidth="1"/>
    <col min="775" max="775" width="14.42578125" style="252" customWidth="1"/>
    <col min="776" max="776" width="10.28515625" style="252" customWidth="1"/>
    <col min="777" max="777" width="9.85546875" style="252" customWidth="1"/>
    <col min="778" max="1024" width="9.140625" style="252"/>
    <col min="1025" max="1025" width="13.7109375" style="252" customWidth="1"/>
    <col min="1026" max="1026" width="23.140625" style="252" customWidth="1"/>
    <col min="1027" max="1027" width="6.28515625" style="252" customWidth="1"/>
    <col min="1028" max="1028" width="11.5703125" style="252" customWidth="1"/>
    <col min="1029" max="1029" width="7.28515625" style="252" customWidth="1"/>
    <col min="1030" max="1030" width="7.42578125" style="252" customWidth="1"/>
    <col min="1031" max="1031" width="14.42578125" style="252" customWidth="1"/>
    <col min="1032" max="1032" width="10.28515625" style="252" customWidth="1"/>
    <col min="1033" max="1033" width="9.85546875" style="252" customWidth="1"/>
    <col min="1034" max="1280" width="9.140625" style="252"/>
    <col min="1281" max="1281" width="13.7109375" style="252" customWidth="1"/>
    <col min="1282" max="1282" width="23.140625" style="252" customWidth="1"/>
    <col min="1283" max="1283" width="6.28515625" style="252" customWidth="1"/>
    <col min="1284" max="1284" width="11.5703125" style="252" customWidth="1"/>
    <col min="1285" max="1285" width="7.28515625" style="252" customWidth="1"/>
    <col min="1286" max="1286" width="7.42578125" style="252" customWidth="1"/>
    <col min="1287" max="1287" width="14.42578125" style="252" customWidth="1"/>
    <col min="1288" max="1288" width="10.28515625" style="252" customWidth="1"/>
    <col min="1289" max="1289" width="9.85546875" style="252" customWidth="1"/>
    <col min="1290" max="1536" width="9.140625" style="252"/>
    <col min="1537" max="1537" width="13.7109375" style="252" customWidth="1"/>
    <col min="1538" max="1538" width="23.140625" style="252" customWidth="1"/>
    <col min="1539" max="1539" width="6.28515625" style="252" customWidth="1"/>
    <col min="1540" max="1540" width="11.5703125" style="252" customWidth="1"/>
    <col min="1541" max="1541" width="7.28515625" style="252" customWidth="1"/>
    <col min="1542" max="1542" width="7.42578125" style="252" customWidth="1"/>
    <col min="1543" max="1543" width="14.42578125" style="252" customWidth="1"/>
    <col min="1544" max="1544" width="10.28515625" style="252" customWidth="1"/>
    <col min="1545" max="1545" width="9.85546875" style="252" customWidth="1"/>
    <col min="1546" max="1792" width="9.140625" style="252"/>
    <col min="1793" max="1793" width="13.7109375" style="252" customWidth="1"/>
    <col min="1794" max="1794" width="23.140625" style="252" customWidth="1"/>
    <col min="1795" max="1795" width="6.28515625" style="252" customWidth="1"/>
    <col min="1796" max="1796" width="11.5703125" style="252" customWidth="1"/>
    <col min="1797" max="1797" width="7.28515625" style="252" customWidth="1"/>
    <col min="1798" max="1798" width="7.42578125" style="252" customWidth="1"/>
    <col min="1799" max="1799" width="14.42578125" style="252" customWidth="1"/>
    <col min="1800" max="1800" width="10.28515625" style="252" customWidth="1"/>
    <col min="1801" max="1801" width="9.85546875" style="252" customWidth="1"/>
    <col min="1802" max="2048" width="9.140625" style="252"/>
    <col min="2049" max="2049" width="13.7109375" style="252" customWidth="1"/>
    <col min="2050" max="2050" width="23.140625" style="252" customWidth="1"/>
    <col min="2051" max="2051" width="6.28515625" style="252" customWidth="1"/>
    <col min="2052" max="2052" width="11.5703125" style="252" customWidth="1"/>
    <col min="2053" max="2053" width="7.28515625" style="252" customWidth="1"/>
    <col min="2054" max="2054" width="7.42578125" style="252" customWidth="1"/>
    <col min="2055" max="2055" width="14.42578125" style="252" customWidth="1"/>
    <col min="2056" max="2056" width="10.28515625" style="252" customWidth="1"/>
    <col min="2057" max="2057" width="9.85546875" style="252" customWidth="1"/>
    <col min="2058" max="2304" width="9.140625" style="252"/>
    <col min="2305" max="2305" width="13.7109375" style="252" customWidth="1"/>
    <col min="2306" max="2306" width="23.140625" style="252" customWidth="1"/>
    <col min="2307" max="2307" width="6.28515625" style="252" customWidth="1"/>
    <col min="2308" max="2308" width="11.5703125" style="252" customWidth="1"/>
    <col min="2309" max="2309" width="7.28515625" style="252" customWidth="1"/>
    <col min="2310" max="2310" width="7.42578125" style="252" customWidth="1"/>
    <col min="2311" max="2311" width="14.42578125" style="252" customWidth="1"/>
    <col min="2312" max="2312" width="10.28515625" style="252" customWidth="1"/>
    <col min="2313" max="2313" width="9.85546875" style="252" customWidth="1"/>
    <col min="2314" max="2560" width="9.140625" style="252"/>
    <col min="2561" max="2561" width="13.7109375" style="252" customWidth="1"/>
    <col min="2562" max="2562" width="23.140625" style="252" customWidth="1"/>
    <col min="2563" max="2563" width="6.28515625" style="252" customWidth="1"/>
    <col min="2564" max="2564" width="11.5703125" style="252" customWidth="1"/>
    <col min="2565" max="2565" width="7.28515625" style="252" customWidth="1"/>
    <col min="2566" max="2566" width="7.42578125" style="252" customWidth="1"/>
    <col min="2567" max="2567" width="14.42578125" style="252" customWidth="1"/>
    <col min="2568" max="2568" width="10.28515625" style="252" customWidth="1"/>
    <col min="2569" max="2569" width="9.85546875" style="252" customWidth="1"/>
    <col min="2570" max="2816" width="9.140625" style="252"/>
    <col min="2817" max="2817" width="13.7109375" style="252" customWidth="1"/>
    <col min="2818" max="2818" width="23.140625" style="252" customWidth="1"/>
    <col min="2819" max="2819" width="6.28515625" style="252" customWidth="1"/>
    <col min="2820" max="2820" width="11.5703125" style="252" customWidth="1"/>
    <col min="2821" max="2821" width="7.28515625" style="252" customWidth="1"/>
    <col min="2822" max="2822" width="7.42578125" style="252" customWidth="1"/>
    <col min="2823" max="2823" width="14.42578125" style="252" customWidth="1"/>
    <col min="2824" max="2824" width="10.28515625" style="252" customWidth="1"/>
    <col min="2825" max="2825" width="9.85546875" style="252" customWidth="1"/>
    <col min="2826" max="3072" width="9.140625" style="252"/>
    <col min="3073" max="3073" width="13.7109375" style="252" customWidth="1"/>
    <col min="3074" max="3074" width="23.140625" style="252" customWidth="1"/>
    <col min="3075" max="3075" width="6.28515625" style="252" customWidth="1"/>
    <col min="3076" max="3076" width="11.5703125" style="252" customWidth="1"/>
    <col min="3077" max="3077" width="7.28515625" style="252" customWidth="1"/>
    <col min="3078" max="3078" width="7.42578125" style="252" customWidth="1"/>
    <col min="3079" max="3079" width="14.42578125" style="252" customWidth="1"/>
    <col min="3080" max="3080" width="10.28515625" style="252" customWidth="1"/>
    <col min="3081" max="3081" width="9.85546875" style="252" customWidth="1"/>
    <col min="3082" max="3328" width="9.140625" style="252"/>
    <col min="3329" max="3329" width="13.7109375" style="252" customWidth="1"/>
    <col min="3330" max="3330" width="23.140625" style="252" customWidth="1"/>
    <col min="3331" max="3331" width="6.28515625" style="252" customWidth="1"/>
    <col min="3332" max="3332" width="11.5703125" style="252" customWidth="1"/>
    <col min="3333" max="3333" width="7.28515625" style="252" customWidth="1"/>
    <col min="3334" max="3334" width="7.42578125" style="252" customWidth="1"/>
    <col min="3335" max="3335" width="14.42578125" style="252" customWidth="1"/>
    <col min="3336" max="3336" width="10.28515625" style="252" customWidth="1"/>
    <col min="3337" max="3337" width="9.85546875" style="252" customWidth="1"/>
    <col min="3338" max="3584" width="9.140625" style="252"/>
    <col min="3585" max="3585" width="13.7109375" style="252" customWidth="1"/>
    <col min="3586" max="3586" width="23.140625" style="252" customWidth="1"/>
    <col min="3587" max="3587" width="6.28515625" style="252" customWidth="1"/>
    <col min="3588" max="3588" width="11.5703125" style="252" customWidth="1"/>
    <col min="3589" max="3589" width="7.28515625" style="252" customWidth="1"/>
    <col min="3590" max="3590" width="7.42578125" style="252" customWidth="1"/>
    <col min="3591" max="3591" width="14.42578125" style="252" customWidth="1"/>
    <col min="3592" max="3592" width="10.28515625" style="252" customWidth="1"/>
    <col min="3593" max="3593" width="9.85546875" style="252" customWidth="1"/>
    <col min="3594" max="3840" width="9.140625" style="252"/>
    <col min="3841" max="3841" width="13.7109375" style="252" customWidth="1"/>
    <col min="3842" max="3842" width="23.140625" style="252" customWidth="1"/>
    <col min="3843" max="3843" width="6.28515625" style="252" customWidth="1"/>
    <col min="3844" max="3844" width="11.5703125" style="252" customWidth="1"/>
    <col min="3845" max="3845" width="7.28515625" style="252" customWidth="1"/>
    <col min="3846" max="3846" width="7.42578125" style="252" customWidth="1"/>
    <col min="3847" max="3847" width="14.42578125" style="252" customWidth="1"/>
    <col min="3848" max="3848" width="10.28515625" style="252" customWidth="1"/>
    <col min="3849" max="3849" width="9.85546875" style="252" customWidth="1"/>
    <col min="3850" max="4096" width="9.140625" style="252"/>
    <col min="4097" max="4097" width="13.7109375" style="252" customWidth="1"/>
    <col min="4098" max="4098" width="23.140625" style="252" customWidth="1"/>
    <col min="4099" max="4099" width="6.28515625" style="252" customWidth="1"/>
    <col min="4100" max="4100" width="11.5703125" style="252" customWidth="1"/>
    <col min="4101" max="4101" width="7.28515625" style="252" customWidth="1"/>
    <col min="4102" max="4102" width="7.42578125" style="252" customWidth="1"/>
    <col min="4103" max="4103" width="14.42578125" style="252" customWidth="1"/>
    <col min="4104" max="4104" width="10.28515625" style="252" customWidth="1"/>
    <col min="4105" max="4105" width="9.85546875" style="252" customWidth="1"/>
    <col min="4106" max="4352" width="9.140625" style="252"/>
    <col min="4353" max="4353" width="13.7109375" style="252" customWidth="1"/>
    <col min="4354" max="4354" width="23.140625" style="252" customWidth="1"/>
    <col min="4355" max="4355" width="6.28515625" style="252" customWidth="1"/>
    <col min="4356" max="4356" width="11.5703125" style="252" customWidth="1"/>
    <col min="4357" max="4357" width="7.28515625" style="252" customWidth="1"/>
    <col min="4358" max="4358" width="7.42578125" style="252" customWidth="1"/>
    <col min="4359" max="4359" width="14.42578125" style="252" customWidth="1"/>
    <col min="4360" max="4360" width="10.28515625" style="252" customWidth="1"/>
    <col min="4361" max="4361" width="9.85546875" style="252" customWidth="1"/>
    <col min="4362" max="4608" width="9.140625" style="252"/>
    <col min="4609" max="4609" width="13.7109375" style="252" customWidth="1"/>
    <col min="4610" max="4610" width="23.140625" style="252" customWidth="1"/>
    <col min="4611" max="4611" width="6.28515625" style="252" customWidth="1"/>
    <col min="4612" max="4612" width="11.5703125" style="252" customWidth="1"/>
    <col min="4613" max="4613" width="7.28515625" style="252" customWidth="1"/>
    <col min="4614" max="4614" width="7.42578125" style="252" customWidth="1"/>
    <col min="4615" max="4615" width="14.42578125" style="252" customWidth="1"/>
    <col min="4616" max="4616" width="10.28515625" style="252" customWidth="1"/>
    <col min="4617" max="4617" width="9.85546875" style="252" customWidth="1"/>
    <col min="4618" max="4864" width="9.140625" style="252"/>
    <col min="4865" max="4865" width="13.7109375" style="252" customWidth="1"/>
    <col min="4866" max="4866" width="23.140625" style="252" customWidth="1"/>
    <col min="4867" max="4867" width="6.28515625" style="252" customWidth="1"/>
    <col min="4868" max="4868" width="11.5703125" style="252" customWidth="1"/>
    <col min="4869" max="4869" width="7.28515625" style="252" customWidth="1"/>
    <col min="4870" max="4870" width="7.42578125" style="252" customWidth="1"/>
    <col min="4871" max="4871" width="14.42578125" style="252" customWidth="1"/>
    <col min="4872" max="4872" width="10.28515625" style="252" customWidth="1"/>
    <col min="4873" max="4873" width="9.85546875" style="252" customWidth="1"/>
    <col min="4874" max="5120" width="9.140625" style="252"/>
    <col min="5121" max="5121" width="13.7109375" style="252" customWidth="1"/>
    <col min="5122" max="5122" width="23.140625" style="252" customWidth="1"/>
    <col min="5123" max="5123" width="6.28515625" style="252" customWidth="1"/>
    <col min="5124" max="5124" width="11.5703125" style="252" customWidth="1"/>
    <col min="5125" max="5125" width="7.28515625" style="252" customWidth="1"/>
    <col min="5126" max="5126" width="7.42578125" style="252" customWidth="1"/>
    <col min="5127" max="5127" width="14.42578125" style="252" customWidth="1"/>
    <col min="5128" max="5128" width="10.28515625" style="252" customWidth="1"/>
    <col min="5129" max="5129" width="9.85546875" style="252" customWidth="1"/>
    <col min="5130" max="5376" width="9.140625" style="252"/>
    <col min="5377" max="5377" width="13.7109375" style="252" customWidth="1"/>
    <col min="5378" max="5378" width="23.140625" style="252" customWidth="1"/>
    <col min="5379" max="5379" width="6.28515625" style="252" customWidth="1"/>
    <col min="5380" max="5380" width="11.5703125" style="252" customWidth="1"/>
    <col min="5381" max="5381" width="7.28515625" style="252" customWidth="1"/>
    <col min="5382" max="5382" width="7.42578125" style="252" customWidth="1"/>
    <col min="5383" max="5383" width="14.42578125" style="252" customWidth="1"/>
    <col min="5384" max="5384" width="10.28515625" style="252" customWidth="1"/>
    <col min="5385" max="5385" width="9.85546875" style="252" customWidth="1"/>
    <col min="5386" max="5632" width="9.140625" style="252"/>
    <col min="5633" max="5633" width="13.7109375" style="252" customWidth="1"/>
    <col min="5634" max="5634" width="23.140625" style="252" customWidth="1"/>
    <col min="5635" max="5635" width="6.28515625" style="252" customWidth="1"/>
    <col min="5636" max="5636" width="11.5703125" style="252" customWidth="1"/>
    <col min="5637" max="5637" width="7.28515625" style="252" customWidth="1"/>
    <col min="5638" max="5638" width="7.42578125" style="252" customWidth="1"/>
    <col min="5639" max="5639" width="14.42578125" style="252" customWidth="1"/>
    <col min="5640" max="5640" width="10.28515625" style="252" customWidth="1"/>
    <col min="5641" max="5641" width="9.85546875" style="252" customWidth="1"/>
    <col min="5642" max="5888" width="9.140625" style="252"/>
    <col min="5889" max="5889" width="13.7109375" style="252" customWidth="1"/>
    <col min="5890" max="5890" width="23.140625" style="252" customWidth="1"/>
    <col min="5891" max="5891" width="6.28515625" style="252" customWidth="1"/>
    <col min="5892" max="5892" width="11.5703125" style="252" customWidth="1"/>
    <col min="5893" max="5893" width="7.28515625" style="252" customWidth="1"/>
    <col min="5894" max="5894" width="7.42578125" style="252" customWidth="1"/>
    <col min="5895" max="5895" width="14.42578125" style="252" customWidth="1"/>
    <col min="5896" max="5896" width="10.28515625" style="252" customWidth="1"/>
    <col min="5897" max="5897" width="9.85546875" style="252" customWidth="1"/>
    <col min="5898" max="6144" width="9.140625" style="252"/>
    <col min="6145" max="6145" width="13.7109375" style="252" customWidth="1"/>
    <col min="6146" max="6146" width="23.140625" style="252" customWidth="1"/>
    <col min="6147" max="6147" width="6.28515625" style="252" customWidth="1"/>
    <col min="6148" max="6148" width="11.5703125" style="252" customWidth="1"/>
    <col min="6149" max="6149" width="7.28515625" style="252" customWidth="1"/>
    <col min="6150" max="6150" width="7.42578125" style="252" customWidth="1"/>
    <col min="6151" max="6151" width="14.42578125" style="252" customWidth="1"/>
    <col min="6152" max="6152" width="10.28515625" style="252" customWidth="1"/>
    <col min="6153" max="6153" width="9.85546875" style="252" customWidth="1"/>
    <col min="6154" max="6400" width="9.140625" style="252"/>
    <col min="6401" max="6401" width="13.7109375" style="252" customWidth="1"/>
    <col min="6402" max="6402" width="23.140625" style="252" customWidth="1"/>
    <col min="6403" max="6403" width="6.28515625" style="252" customWidth="1"/>
    <col min="6404" max="6404" width="11.5703125" style="252" customWidth="1"/>
    <col min="6405" max="6405" width="7.28515625" style="252" customWidth="1"/>
    <col min="6406" max="6406" width="7.42578125" style="252" customWidth="1"/>
    <col min="6407" max="6407" width="14.42578125" style="252" customWidth="1"/>
    <col min="6408" max="6408" width="10.28515625" style="252" customWidth="1"/>
    <col min="6409" max="6409" width="9.85546875" style="252" customWidth="1"/>
    <col min="6410" max="6656" width="9.140625" style="252"/>
    <col min="6657" max="6657" width="13.7109375" style="252" customWidth="1"/>
    <col min="6658" max="6658" width="23.140625" style="252" customWidth="1"/>
    <col min="6659" max="6659" width="6.28515625" style="252" customWidth="1"/>
    <col min="6660" max="6660" width="11.5703125" style="252" customWidth="1"/>
    <col min="6661" max="6661" width="7.28515625" style="252" customWidth="1"/>
    <col min="6662" max="6662" width="7.42578125" style="252" customWidth="1"/>
    <col min="6663" max="6663" width="14.42578125" style="252" customWidth="1"/>
    <col min="6664" max="6664" width="10.28515625" style="252" customWidth="1"/>
    <col min="6665" max="6665" width="9.85546875" style="252" customWidth="1"/>
    <col min="6666" max="6912" width="9.140625" style="252"/>
    <col min="6913" max="6913" width="13.7109375" style="252" customWidth="1"/>
    <col min="6914" max="6914" width="23.140625" style="252" customWidth="1"/>
    <col min="6915" max="6915" width="6.28515625" style="252" customWidth="1"/>
    <col min="6916" max="6916" width="11.5703125" style="252" customWidth="1"/>
    <col min="6917" max="6917" width="7.28515625" style="252" customWidth="1"/>
    <col min="6918" max="6918" width="7.42578125" style="252" customWidth="1"/>
    <col min="6919" max="6919" width="14.42578125" style="252" customWidth="1"/>
    <col min="6920" max="6920" width="10.28515625" style="252" customWidth="1"/>
    <col min="6921" max="6921" width="9.85546875" style="252" customWidth="1"/>
    <col min="6922" max="7168" width="9.140625" style="252"/>
    <col min="7169" max="7169" width="13.7109375" style="252" customWidth="1"/>
    <col min="7170" max="7170" width="23.140625" style="252" customWidth="1"/>
    <col min="7171" max="7171" width="6.28515625" style="252" customWidth="1"/>
    <col min="7172" max="7172" width="11.5703125" style="252" customWidth="1"/>
    <col min="7173" max="7173" width="7.28515625" style="252" customWidth="1"/>
    <col min="7174" max="7174" width="7.42578125" style="252" customWidth="1"/>
    <col min="7175" max="7175" width="14.42578125" style="252" customWidth="1"/>
    <col min="7176" max="7176" width="10.28515625" style="252" customWidth="1"/>
    <col min="7177" max="7177" width="9.85546875" style="252" customWidth="1"/>
    <col min="7178" max="7424" width="9.140625" style="252"/>
    <col min="7425" max="7425" width="13.7109375" style="252" customWidth="1"/>
    <col min="7426" max="7426" width="23.140625" style="252" customWidth="1"/>
    <col min="7427" max="7427" width="6.28515625" style="252" customWidth="1"/>
    <col min="7428" max="7428" width="11.5703125" style="252" customWidth="1"/>
    <col min="7429" max="7429" width="7.28515625" style="252" customWidth="1"/>
    <col min="7430" max="7430" width="7.42578125" style="252" customWidth="1"/>
    <col min="7431" max="7431" width="14.42578125" style="252" customWidth="1"/>
    <col min="7432" max="7432" width="10.28515625" style="252" customWidth="1"/>
    <col min="7433" max="7433" width="9.85546875" style="252" customWidth="1"/>
    <col min="7434" max="7680" width="9.140625" style="252"/>
    <col min="7681" max="7681" width="13.7109375" style="252" customWidth="1"/>
    <col min="7682" max="7682" width="23.140625" style="252" customWidth="1"/>
    <col min="7683" max="7683" width="6.28515625" style="252" customWidth="1"/>
    <col min="7684" max="7684" width="11.5703125" style="252" customWidth="1"/>
    <col min="7685" max="7685" width="7.28515625" style="252" customWidth="1"/>
    <col min="7686" max="7686" width="7.42578125" style="252" customWidth="1"/>
    <col min="7687" max="7687" width="14.42578125" style="252" customWidth="1"/>
    <col min="7688" max="7688" width="10.28515625" style="252" customWidth="1"/>
    <col min="7689" max="7689" width="9.85546875" style="252" customWidth="1"/>
    <col min="7690" max="7936" width="9.140625" style="252"/>
    <col min="7937" max="7937" width="13.7109375" style="252" customWidth="1"/>
    <col min="7938" max="7938" width="23.140625" style="252" customWidth="1"/>
    <col min="7939" max="7939" width="6.28515625" style="252" customWidth="1"/>
    <col min="7940" max="7940" width="11.5703125" style="252" customWidth="1"/>
    <col min="7941" max="7941" width="7.28515625" style="252" customWidth="1"/>
    <col min="7942" max="7942" width="7.42578125" style="252" customWidth="1"/>
    <col min="7943" max="7943" width="14.42578125" style="252" customWidth="1"/>
    <col min="7944" max="7944" width="10.28515625" style="252" customWidth="1"/>
    <col min="7945" max="7945" width="9.85546875" style="252" customWidth="1"/>
    <col min="7946" max="8192" width="9.140625" style="252"/>
    <col min="8193" max="8193" width="13.7109375" style="252" customWidth="1"/>
    <col min="8194" max="8194" width="23.140625" style="252" customWidth="1"/>
    <col min="8195" max="8195" width="6.28515625" style="252" customWidth="1"/>
    <col min="8196" max="8196" width="11.5703125" style="252" customWidth="1"/>
    <col min="8197" max="8197" width="7.28515625" style="252" customWidth="1"/>
    <col min="8198" max="8198" width="7.42578125" style="252" customWidth="1"/>
    <col min="8199" max="8199" width="14.42578125" style="252" customWidth="1"/>
    <col min="8200" max="8200" width="10.28515625" style="252" customWidth="1"/>
    <col min="8201" max="8201" width="9.85546875" style="252" customWidth="1"/>
    <col min="8202" max="8448" width="9.140625" style="252"/>
    <col min="8449" max="8449" width="13.7109375" style="252" customWidth="1"/>
    <col min="8450" max="8450" width="23.140625" style="252" customWidth="1"/>
    <col min="8451" max="8451" width="6.28515625" style="252" customWidth="1"/>
    <col min="8452" max="8452" width="11.5703125" style="252" customWidth="1"/>
    <col min="8453" max="8453" width="7.28515625" style="252" customWidth="1"/>
    <col min="8454" max="8454" width="7.42578125" style="252" customWidth="1"/>
    <col min="8455" max="8455" width="14.42578125" style="252" customWidth="1"/>
    <col min="8456" max="8456" width="10.28515625" style="252" customWidth="1"/>
    <col min="8457" max="8457" width="9.85546875" style="252" customWidth="1"/>
    <col min="8458" max="8704" width="9.140625" style="252"/>
    <col min="8705" max="8705" width="13.7109375" style="252" customWidth="1"/>
    <col min="8706" max="8706" width="23.140625" style="252" customWidth="1"/>
    <col min="8707" max="8707" width="6.28515625" style="252" customWidth="1"/>
    <col min="8708" max="8708" width="11.5703125" style="252" customWidth="1"/>
    <col min="8709" max="8709" width="7.28515625" style="252" customWidth="1"/>
    <col min="8710" max="8710" width="7.42578125" style="252" customWidth="1"/>
    <col min="8711" max="8711" width="14.42578125" style="252" customWidth="1"/>
    <col min="8712" max="8712" width="10.28515625" style="252" customWidth="1"/>
    <col min="8713" max="8713" width="9.85546875" style="252" customWidth="1"/>
    <col min="8714" max="8960" width="9.140625" style="252"/>
    <col min="8961" max="8961" width="13.7109375" style="252" customWidth="1"/>
    <col min="8962" max="8962" width="23.140625" style="252" customWidth="1"/>
    <col min="8963" max="8963" width="6.28515625" style="252" customWidth="1"/>
    <col min="8964" max="8964" width="11.5703125" style="252" customWidth="1"/>
    <col min="8965" max="8965" width="7.28515625" style="252" customWidth="1"/>
    <col min="8966" max="8966" width="7.42578125" style="252" customWidth="1"/>
    <col min="8967" max="8967" width="14.42578125" style="252" customWidth="1"/>
    <col min="8968" max="8968" width="10.28515625" style="252" customWidth="1"/>
    <col min="8969" max="8969" width="9.85546875" style="252" customWidth="1"/>
    <col min="8970" max="9216" width="9.140625" style="252"/>
    <col min="9217" max="9217" width="13.7109375" style="252" customWidth="1"/>
    <col min="9218" max="9218" width="23.140625" style="252" customWidth="1"/>
    <col min="9219" max="9219" width="6.28515625" style="252" customWidth="1"/>
    <col min="9220" max="9220" width="11.5703125" style="252" customWidth="1"/>
    <col min="9221" max="9221" width="7.28515625" style="252" customWidth="1"/>
    <col min="9222" max="9222" width="7.42578125" style="252" customWidth="1"/>
    <col min="9223" max="9223" width="14.42578125" style="252" customWidth="1"/>
    <col min="9224" max="9224" width="10.28515625" style="252" customWidth="1"/>
    <col min="9225" max="9225" width="9.85546875" style="252" customWidth="1"/>
    <col min="9226" max="9472" width="9.140625" style="252"/>
    <col min="9473" max="9473" width="13.7109375" style="252" customWidth="1"/>
    <col min="9474" max="9474" width="23.140625" style="252" customWidth="1"/>
    <col min="9475" max="9475" width="6.28515625" style="252" customWidth="1"/>
    <col min="9476" max="9476" width="11.5703125" style="252" customWidth="1"/>
    <col min="9477" max="9477" width="7.28515625" style="252" customWidth="1"/>
    <col min="9478" max="9478" width="7.42578125" style="252" customWidth="1"/>
    <col min="9479" max="9479" width="14.42578125" style="252" customWidth="1"/>
    <col min="9480" max="9480" width="10.28515625" style="252" customWidth="1"/>
    <col min="9481" max="9481" width="9.85546875" style="252" customWidth="1"/>
    <col min="9482" max="9728" width="9.140625" style="252"/>
    <col min="9729" max="9729" width="13.7109375" style="252" customWidth="1"/>
    <col min="9730" max="9730" width="23.140625" style="252" customWidth="1"/>
    <col min="9731" max="9731" width="6.28515625" style="252" customWidth="1"/>
    <col min="9732" max="9732" width="11.5703125" style="252" customWidth="1"/>
    <col min="9733" max="9733" width="7.28515625" style="252" customWidth="1"/>
    <col min="9734" max="9734" width="7.42578125" style="252" customWidth="1"/>
    <col min="9735" max="9735" width="14.42578125" style="252" customWidth="1"/>
    <col min="9736" max="9736" width="10.28515625" style="252" customWidth="1"/>
    <col min="9737" max="9737" width="9.85546875" style="252" customWidth="1"/>
    <col min="9738" max="9984" width="9.140625" style="252"/>
    <col min="9985" max="9985" width="13.7109375" style="252" customWidth="1"/>
    <col min="9986" max="9986" width="23.140625" style="252" customWidth="1"/>
    <col min="9987" max="9987" width="6.28515625" style="252" customWidth="1"/>
    <col min="9988" max="9988" width="11.5703125" style="252" customWidth="1"/>
    <col min="9989" max="9989" width="7.28515625" style="252" customWidth="1"/>
    <col min="9990" max="9990" width="7.42578125" style="252" customWidth="1"/>
    <col min="9991" max="9991" width="14.42578125" style="252" customWidth="1"/>
    <col min="9992" max="9992" width="10.28515625" style="252" customWidth="1"/>
    <col min="9993" max="9993" width="9.85546875" style="252" customWidth="1"/>
    <col min="9994" max="10240" width="9.140625" style="252"/>
    <col min="10241" max="10241" width="13.7109375" style="252" customWidth="1"/>
    <col min="10242" max="10242" width="23.140625" style="252" customWidth="1"/>
    <col min="10243" max="10243" width="6.28515625" style="252" customWidth="1"/>
    <col min="10244" max="10244" width="11.5703125" style="252" customWidth="1"/>
    <col min="10245" max="10245" width="7.28515625" style="252" customWidth="1"/>
    <col min="10246" max="10246" width="7.42578125" style="252" customWidth="1"/>
    <col min="10247" max="10247" width="14.42578125" style="252" customWidth="1"/>
    <col min="10248" max="10248" width="10.28515625" style="252" customWidth="1"/>
    <col min="10249" max="10249" width="9.85546875" style="252" customWidth="1"/>
    <col min="10250" max="10496" width="9.140625" style="252"/>
    <col min="10497" max="10497" width="13.7109375" style="252" customWidth="1"/>
    <col min="10498" max="10498" width="23.140625" style="252" customWidth="1"/>
    <col min="10499" max="10499" width="6.28515625" style="252" customWidth="1"/>
    <col min="10500" max="10500" width="11.5703125" style="252" customWidth="1"/>
    <col min="10501" max="10501" width="7.28515625" style="252" customWidth="1"/>
    <col min="10502" max="10502" width="7.42578125" style="252" customWidth="1"/>
    <col min="10503" max="10503" width="14.42578125" style="252" customWidth="1"/>
    <col min="10504" max="10504" width="10.28515625" style="252" customWidth="1"/>
    <col min="10505" max="10505" width="9.85546875" style="252" customWidth="1"/>
    <col min="10506" max="10752" width="9.140625" style="252"/>
    <col min="10753" max="10753" width="13.7109375" style="252" customWidth="1"/>
    <col min="10754" max="10754" width="23.140625" style="252" customWidth="1"/>
    <col min="10755" max="10755" width="6.28515625" style="252" customWidth="1"/>
    <col min="10756" max="10756" width="11.5703125" style="252" customWidth="1"/>
    <col min="10757" max="10757" width="7.28515625" style="252" customWidth="1"/>
    <col min="10758" max="10758" width="7.42578125" style="252" customWidth="1"/>
    <col min="10759" max="10759" width="14.42578125" style="252" customWidth="1"/>
    <col min="10760" max="10760" width="10.28515625" style="252" customWidth="1"/>
    <col min="10761" max="10761" width="9.85546875" style="252" customWidth="1"/>
    <col min="10762" max="11008" width="9.140625" style="252"/>
    <col min="11009" max="11009" width="13.7109375" style="252" customWidth="1"/>
    <col min="11010" max="11010" width="23.140625" style="252" customWidth="1"/>
    <col min="11011" max="11011" width="6.28515625" style="252" customWidth="1"/>
    <col min="11012" max="11012" width="11.5703125" style="252" customWidth="1"/>
    <col min="11013" max="11013" width="7.28515625" style="252" customWidth="1"/>
    <col min="11014" max="11014" width="7.42578125" style="252" customWidth="1"/>
    <col min="11015" max="11015" width="14.42578125" style="252" customWidth="1"/>
    <col min="11016" max="11016" width="10.28515625" style="252" customWidth="1"/>
    <col min="11017" max="11017" width="9.85546875" style="252" customWidth="1"/>
    <col min="11018" max="11264" width="9.140625" style="252"/>
    <col min="11265" max="11265" width="13.7109375" style="252" customWidth="1"/>
    <col min="11266" max="11266" width="23.140625" style="252" customWidth="1"/>
    <col min="11267" max="11267" width="6.28515625" style="252" customWidth="1"/>
    <col min="11268" max="11268" width="11.5703125" style="252" customWidth="1"/>
    <col min="11269" max="11269" width="7.28515625" style="252" customWidth="1"/>
    <col min="11270" max="11270" width="7.42578125" style="252" customWidth="1"/>
    <col min="11271" max="11271" width="14.42578125" style="252" customWidth="1"/>
    <col min="11272" max="11272" width="10.28515625" style="252" customWidth="1"/>
    <col min="11273" max="11273" width="9.85546875" style="252" customWidth="1"/>
    <col min="11274" max="11520" width="9.140625" style="252"/>
    <col min="11521" max="11521" width="13.7109375" style="252" customWidth="1"/>
    <col min="11522" max="11522" width="23.140625" style="252" customWidth="1"/>
    <col min="11523" max="11523" width="6.28515625" style="252" customWidth="1"/>
    <col min="11524" max="11524" width="11.5703125" style="252" customWidth="1"/>
    <col min="11525" max="11525" width="7.28515625" style="252" customWidth="1"/>
    <col min="11526" max="11526" width="7.42578125" style="252" customWidth="1"/>
    <col min="11527" max="11527" width="14.42578125" style="252" customWidth="1"/>
    <col min="11528" max="11528" width="10.28515625" style="252" customWidth="1"/>
    <col min="11529" max="11529" width="9.85546875" style="252" customWidth="1"/>
    <col min="11530" max="11776" width="9.140625" style="252"/>
    <col min="11777" max="11777" width="13.7109375" style="252" customWidth="1"/>
    <col min="11778" max="11778" width="23.140625" style="252" customWidth="1"/>
    <col min="11779" max="11779" width="6.28515625" style="252" customWidth="1"/>
    <col min="11780" max="11780" width="11.5703125" style="252" customWidth="1"/>
    <col min="11781" max="11781" width="7.28515625" style="252" customWidth="1"/>
    <col min="11782" max="11782" width="7.42578125" style="252" customWidth="1"/>
    <col min="11783" max="11783" width="14.42578125" style="252" customWidth="1"/>
    <col min="11784" max="11784" width="10.28515625" style="252" customWidth="1"/>
    <col min="11785" max="11785" width="9.85546875" style="252" customWidth="1"/>
    <col min="11786" max="12032" width="9.140625" style="252"/>
    <col min="12033" max="12033" width="13.7109375" style="252" customWidth="1"/>
    <col min="12034" max="12034" width="23.140625" style="252" customWidth="1"/>
    <col min="12035" max="12035" width="6.28515625" style="252" customWidth="1"/>
    <col min="12036" max="12036" width="11.5703125" style="252" customWidth="1"/>
    <col min="12037" max="12037" width="7.28515625" style="252" customWidth="1"/>
    <col min="12038" max="12038" width="7.42578125" style="252" customWidth="1"/>
    <col min="12039" max="12039" width="14.42578125" style="252" customWidth="1"/>
    <col min="12040" max="12040" width="10.28515625" style="252" customWidth="1"/>
    <col min="12041" max="12041" width="9.85546875" style="252" customWidth="1"/>
    <col min="12042" max="12288" width="9.140625" style="252"/>
    <col min="12289" max="12289" width="13.7109375" style="252" customWidth="1"/>
    <col min="12290" max="12290" width="23.140625" style="252" customWidth="1"/>
    <col min="12291" max="12291" width="6.28515625" style="252" customWidth="1"/>
    <col min="12292" max="12292" width="11.5703125" style="252" customWidth="1"/>
    <col min="12293" max="12293" width="7.28515625" style="252" customWidth="1"/>
    <col min="12294" max="12294" width="7.42578125" style="252" customWidth="1"/>
    <col min="12295" max="12295" width="14.42578125" style="252" customWidth="1"/>
    <col min="12296" max="12296" width="10.28515625" style="252" customWidth="1"/>
    <col min="12297" max="12297" width="9.85546875" style="252" customWidth="1"/>
    <col min="12298" max="12544" width="9.140625" style="252"/>
    <col min="12545" max="12545" width="13.7109375" style="252" customWidth="1"/>
    <col min="12546" max="12546" width="23.140625" style="252" customWidth="1"/>
    <col min="12547" max="12547" width="6.28515625" style="252" customWidth="1"/>
    <col min="12548" max="12548" width="11.5703125" style="252" customWidth="1"/>
    <col min="12549" max="12549" width="7.28515625" style="252" customWidth="1"/>
    <col min="12550" max="12550" width="7.42578125" style="252" customWidth="1"/>
    <col min="12551" max="12551" width="14.42578125" style="252" customWidth="1"/>
    <col min="12552" max="12552" width="10.28515625" style="252" customWidth="1"/>
    <col min="12553" max="12553" width="9.85546875" style="252" customWidth="1"/>
    <col min="12554" max="12800" width="9.140625" style="252"/>
    <col min="12801" max="12801" width="13.7109375" style="252" customWidth="1"/>
    <col min="12802" max="12802" width="23.140625" style="252" customWidth="1"/>
    <col min="12803" max="12803" width="6.28515625" style="252" customWidth="1"/>
    <col min="12804" max="12804" width="11.5703125" style="252" customWidth="1"/>
    <col min="12805" max="12805" width="7.28515625" style="252" customWidth="1"/>
    <col min="12806" max="12806" width="7.42578125" style="252" customWidth="1"/>
    <col min="12807" max="12807" width="14.42578125" style="252" customWidth="1"/>
    <col min="12808" max="12808" width="10.28515625" style="252" customWidth="1"/>
    <col min="12809" max="12809" width="9.85546875" style="252" customWidth="1"/>
    <col min="12810" max="13056" width="9.140625" style="252"/>
    <col min="13057" max="13057" width="13.7109375" style="252" customWidth="1"/>
    <col min="13058" max="13058" width="23.140625" style="252" customWidth="1"/>
    <col min="13059" max="13059" width="6.28515625" style="252" customWidth="1"/>
    <col min="13060" max="13060" width="11.5703125" style="252" customWidth="1"/>
    <col min="13061" max="13061" width="7.28515625" style="252" customWidth="1"/>
    <col min="13062" max="13062" width="7.42578125" style="252" customWidth="1"/>
    <col min="13063" max="13063" width="14.42578125" style="252" customWidth="1"/>
    <col min="13064" max="13064" width="10.28515625" style="252" customWidth="1"/>
    <col min="13065" max="13065" width="9.85546875" style="252" customWidth="1"/>
    <col min="13066" max="13312" width="9.140625" style="252"/>
    <col min="13313" max="13313" width="13.7109375" style="252" customWidth="1"/>
    <col min="13314" max="13314" width="23.140625" style="252" customWidth="1"/>
    <col min="13315" max="13315" width="6.28515625" style="252" customWidth="1"/>
    <col min="13316" max="13316" width="11.5703125" style="252" customWidth="1"/>
    <col min="13317" max="13317" width="7.28515625" style="252" customWidth="1"/>
    <col min="13318" max="13318" width="7.42578125" style="252" customWidth="1"/>
    <col min="13319" max="13319" width="14.42578125" style="252" customWidth="1"/>
    <col min="13320" max="13320" width="10.28515625" style="252" customWidth="1"/>
    <col min="13321" max="13321" width="9.85546875" style="252" customWidth="1"/>
    <col min="13322" max="13568" width="9.140625" style="252"/>
    <col min="13569" max="13569" width="13.7109375" style="252" customWidth="1"/>
    <col min="13570" max="13570" width="23.140625" style="252" customWidth="1"/>
    <col min="13571" max="13571" width="6.28515625" style="252" customWidth="1"/>
    <col min="13572" max="13572" width="11.5703125" style="252" customWidth="1"/>
    <col min="13573" max="13573" width="7.28515625" style="252" customWidth="1"/>
    <col min="13574" max="13574" width="7.42578125" style="252" customWidth="1"/>
    <col min="13575" max="13575" width="14.42578125" style="252" customWidth="1"/>
    <col min="13576" max="13576" width="10.28515625" style="252" customWidth="1"/>
    <col min="13577" max="13577" width="9.85546875" style="252" customWidth="1"/>
    <col min="13578" max="13824" width="9.140625" style="252"/>
    <col min="13825" max="13825" width="13.7109375" style="252" customWidth="1"/>
    <col min="13826" max="13826" width="23.140625" style="252" customWidth="1"/>
    <col min="13827" max="13827" width="6.28515625" style="252" customWidth="1"/>
    <col min="13828" max="13828" width="11.5703125" style="252" customWidth="1"/>
    <col min="13829" max="13829" width="7.28515625" style="252" customWidth="1"/>
    <col min="13830" max="13830" width="7.42578125" style="252" customWidth="1"/>
    <col min="13831" max="13831" width="14.42578125" style="252" customWidth="1"/>
    <col min="13832" max="13832" width="10.28515625" style="252" customWidth="1"/>
    <col min="13833" max="13833" width="9.85546875" style="252" customWidth="1"/>
    <col min="13834" max="14080" width="9.140625" style="252"/>
    <col min="14081" max="14081" width="13.7109375" style="252" customWidth="1"/>
    <col min="14082" max="14082" width="23.140625" style="252" customWidth="1"/>
    <col min="14083" max="14083" width="6.28515625" style="252" customWidth="1"/>
    <col min="14084" max="14084" width="11.5703125" style="252" customWidth="1"/>
    <col min="14085" max="14085" width="7.28515625" style="252" customWidth="1"/>
    <col min="14086" max="14086" width="7.42578125" style="252" customWidth="1"/>
    <col min="14087" max="14087" width="14.42578125" style="252" customWidth="1"/>
    <col min="14088" max="14088" width="10.28515625" style="252" customWidth="1"/>
    <col min="14089" max="14089" width="9.85546875" style="252" customWidth="1"/>
    <col min="14090" max="14336" width="9.140625" style="252"/>
    <col min="14337" max="14337" width="13.7109375" style="252" customWidth="1"/>
    <col min="14338" max="14338" width="23.140625" style="252" customWidth="1"/>
    <col min="14339" max="14339" width="6.28515625" style="252" customWidth="1"/>
    <col min="14340" max="14340" width="11.5703125" style="252" customWidth="1"/>
    <col min="14341" max="14341" width="7.28515625" style="252" customWidth="1"/>
    <col min="14342" max="14342" width="7.42578125" style="252" customWidth="1"/>
    <col min="14343" max="14343" width="14.42578125" style="252" customWidth="1"/>
    <col min="14344" max="14344" width="10.28515625" style="252" customWidth="1"/>
    <col min="14345" max="14345" width="9.85546875" style="252" customWidth="1"/>
    <col min="14346" max="14592" width="9.140625" style="252"/>
    <col min="14593" max="14593" width="13.7109375" style="252" customWidth="1"/>
    <col min="14594" max="14594" width="23.140625" style="252" customWidth="1"/>
    <col min="14595" max="14595" width="6.28515625" style="252" customWidth="1"/>
    <col min="14596" max="14596" width="11.5703125" style="252" customWidth="1"/>
    <col min="14597" max="14597" width="7.28515625" style="252" customWidth="1"/>
    <col min="14598" max="14598" width="7.42578125" style="252" customWidth="1"/>
    <col min="14599" max="14599" width="14.42578125" style="252" customWidth="1"/>
    <col min="14600" max="14600" width="10.28515625" style="252" customWidth="1"/>
    <col min="14601" max="14601" width="9.85546875" style="252" customWidth="1"/>
    <col min="14602" max="14848" width="9.140625" style="252"/>
    <col min="14849" max="14849" width="13.7109375" style="252" customWidth="1"/>
    <col min="14850" max="14850" width="23.140625" style="252" customWidth="1"/>
    <col min="14851" max="14851" width="6.28515625" style="252" customWidth="1"/>
    <col min="14852" max="14852" width="11.5703125" style="252" customWidth="1"/>
    <col min="14853" max="14853" width="7.28515625" style="252" customWidth="1"/>
    <col min="14854" max="14854" width="7.42578125" style="252" customWidth="1"/>
    <col min="14855" max="14855" width="14.42578125" style="252" customWidth="1"/>
    <col min="14856" max="14856" width="10.28515625" style="252" customWidth="1"/>
    <col min="14857" max="14857" width="9.85546875" style="252" customWidth="1"/>
    <col min="14858" max="15104" width="9.140625" style="252"/>
    <col min="15105" max="15105" width="13.7109375" style="252" customWidth="1"/>
    <col min="15106" max="15106" width="23.140625" style="252" customWidth="1"/>
    <col min="15107" max="15107" width="6.28515625" style="252" customWidth="1"/>
    <col min="15108" max="15108" width="11.5703125" style="252" customWidth="1"/>
    <col min="15109" max="15109" width="7.28515625" style="252" customWidth="1"/>
    <col min="15110" max="15110" width="7.42578125" style="252" customWidth="1"/>
    <col min="15111" max="15111" width="14.42578125" style="252" customWidth="1"/>
    <col min="15112" max="15112" width="10.28515625" style="252" customWidth="1"/>
    <col min="15113" max="15113" width="9.85546875" style="252" customWidth="1"/>
    <col min="15114" max="15360" width="9.140625" style="252"/>
    <col min="15361" max="15361" width="13.7109375" style="252" customWidth="1"/>
    <col min="15362" max="15362" width="23.140625" style="252" customWidth="1"/>
    <col min="15363" max="15363" width="6.28515625" style="252" customWidth="1"/>
    <col min="15364" max="15364" width="11.5703125" style="252" customWidth="1"/>
    <col min="15365" max="15365" width="7.28515625" style="252" customWidth="1"/>
    <col min="15366" max="15366" width="7.42578125" style="252" customWidth="1"/>
    <col min="15367" max="15367" width="14.42578125" style="252" customWidth="1"/>
    <col min="15368" max="15368" width="10.28515625" style="252" customWidth="1"/>
    <col min="15369" max="15369" width="9.85546875" style="252" customWidth="1"/>
    <col min="15370" max="15616" width="9.140625" style="252"/>
    <col min="15617" max="15617" width="13.7109375" style="252" customWidth="1"/>
    <col min="15618" max="15618" width="23.140625" style="252" customWidth="1"/>
    <col min="15619" max="15619" width="6.28515625" style="252" customWidth="1"/>
    <col min="15620" max="15620" width="11.5703125" style="252" customWidth="1"/>
    <col min="15621" max="15621" width="7.28515625" style="252" customWidth="1"/>
    <col min="15622" max="15622" width="7.42578125" style="252" customWidth="1"/>
    <col min="15623" max="15623" width="14.42578125" style="252" customWidth="1"/>
    <col min="15624" max="15624" width="10.28515625" style="252" customWidth="1"/>
    <col min="15625" max="15625" width="9.85546875" style="252" customWidth="1"/>
    <col min="15626" max="15872" width="9.140625" style="252"/>
    <col min="15873" max="15873" width="13.7109375" style="252" customWidth="1"/>
    <col min="15874" max="15874" width="23.140625" style="252" customWidth="1"/>
    <col min="15875" max="15875" width="6.28515625" style="252" customWidth="1"/>
    <col min="15876" max="15876" width="11.5703125" style="252" customWidth="1"/>
    <col min="15877" max="15877" width="7.28515625" style="252" customWidth="1"/>
    <col min="15878" max="15878" width="7.42578125" style="252" customWidth="1"/>
    <col min="15879" max="15879" width="14.42578125" style="252" customWidth="1"/>
    <col min="15880" max="15880" width="10.28515625" style="252" customWidth="1"/>
    <col min="15881" max="15881" width="9.85546875" style="252" customWidth="1"/>
    <col min="15882" max="16128" width="9.140625" style="252"/>
    <col min="16129" max="16129" width="13.7109375" style="252" customWidth="1"/>
    <col min="16130" max="16130" width="23.140625" style="252" customWidth="1"/>
    <col min="16131" max="16131" width="6.28515625" style="252" customWidth="1"/>
    <col min="16132" max="16132" width="11.5703125" style="252" customWidth="1"/>
    <col min="16133" max="16133" width="7.28515625" style="252" customWidth="1"/>
    <col min="16134" max="16134" width="7.42578125" style="252" customWidth="1"/>
    <col min="16135" max="16135" width="14.42578125" style="252" customWidth="1"/>
    <col min="16136" max="16136" width="10.28515625" style="252" customWidth="1"/>
    <col min="16137" max="16137" width="9.85546875" style="252" customWidth="1"/>
    <col min="16138" max="16384" width="9.140625" style="252"/>
  </cols>
  <sheetData>
    <row r="1" spans="1:11" ht="24.75" customHeight="1" thickBot="1" x14ac:dyDescent="0.3">
      <c r="A1" s="255" t="s">
        <v>1226</v>
      </c>
    </row>
    <row r="2" spans="1:11" ht="20.25" customHeight="1" thickBot="1" x14ac:dyDescent="0.3">
      <c r="A2" s="346" t="s">
        <v>1227</v>
      </c>
      <c r="B2" s="347"/>
      <c r="C2" s="347"/>
      <c r="D2" s="347"/>
      <c r="E2" s="347"/>
      <c r="F2" s="347"/>
      <c r="G2" s="347"/>
      <c r="H2" s="348"/>
    </row>
    <row r="3" spans="1:11" s="253" customFormat="1" ht="36" customHeight="1" x14ac:dyDescent="0.25">
      <c r="A3" s="258" t="s">
        <v>1228</v>
      </c>
      <c r="B3" s="259" t="s">
        <v>1229</v>
      </c>
      <c r="C3" s="260" t="s">
        <v>1230</v>
      </c>
      <c r="D3" s="261" t="s">
        <v>1231</v>
      </c>
      <c r="E3" s="262" t="s">
        <v>1232</v>
      </c>
      <c r="F3" s="263" t="s">
        <v>1233</v>
      </c>
      <c r="G3" s="264" t="s">
        <v>1234</v>
      </c>
      <c r="H3" s="265" t="s">
        <v>1235</v>
      </c>
    </row>
    <row r="4" spans="1:11" s="253" customFormat="1" ht="18" customHeight="1" thickBot="1" x14ac:dyDescent="0.3">
      <c r="A4" s="266" t="s">
        <v>15</v>
      </c>
      <c r="B4" s="267" t="s">
        <v>1236</v>
      </c>
      <c r="C4" s="268"/>
      <c r="D4" s="268"/>
      <c r="E4" s="269"/>
      <c r="F4" s="270"/>
      <c r="G4" s="271" t="s">
        <v>1237</v>
      </c>
      <c r="H4" s="272"/>
      <c r="I4" s="273"/>
      <c r="J4" s="273"/>
      <c r="K4" s="273"/>
    </row>
    <row r="5" spans="1:11" s="283" customFormat="1" ht="15" customHeight="1" x14ac:dyDescent="0.25">
      <c r="A5" s="274" t="s">
        <v>1238</v>
      </c>
      <c r="B5" s="275" t="s">
        <v>1239</v>
      </c>
      <c r="C5" s="276">
        <v>2</v>
      </c>
      <c r="D5" s="277" t="s">
        <v>1240</v>
      </c>
      <c r="E5" s="278">
        <v>466.35</v>
      </c>
      <c r="F5" s="279">
        <v>466.65</v>
      </c>
      <c r="G5" s="280">
        <f>F5-E5</f>
        <v>0.29999999999995453</v>
      </c>
      <c r="H5" s="281">
        <v>6.05</v>
      </c>
      <c r="I5" s="282"/>
      <c r="J5" s="273"/>
      <c r="K5" s="273"/>
    </row>
    <row r="6" spans="1:11" s="283" customFormat="1" ht="15" customHeight="1" x14ac:dyDescent="0.25">
      <c r="A6" s="284"/>
      <c r="B6" s="285" t="s">
        <v>1241</v>
      </c>
      <c r="C6" s="286">
        <v>2</v>
      </c>
      <c r="D6" s="287" t="s">
        <v>1240</v>
      </c>
      <c r="E6" s="288">
        <v>473.65</v>
      </c>
      <c r="F6" s="289">
        <v>474.35</v>
      </c>
      <c r="G6" s="280">
        <f>F6-E6</f>
        <v>0.70000000000004547</v>
      </c>
      <c r="H6" s="281">
        <v>6.05</v>
      </c>
      <c r="I6" s="282"/>
      <c r="J6" s="273"/>
      <c r="K6" s="273"/>
    </row>
    <row r="7" spans="1:11" s="283" customFormat="1" ht="15" customHeight="1" x14ac:dyDescent="0.25">
      <c r="A7" s="290"/>
      <c r="B7" s="291" t="s">
        <v>1242</v>
      </c>
      <c r="C7" s="286">
        <v>1</v>
      </c>
      <c r="D7" s="287" t="s">
        <v>1243</v>
      </c>
      <c r="E7" s="288">
        <v>477.8</v>
      </c>
      <c r="F7" s="289">
        <v>481.3</v>
      </c>
      <c r="G7" s="292">
        <f>F7-E7</f>
        <v>3.5</v>
      </c>
      <c r="H7" s="281">
        <v>6.05</v>
      </c>
      <c r="I7" s="282"/>
      <c r="J7" s="273"/>
      <c r="K7" s="273"/>
    </row>
    <row r="8" spans="1:11" s="283" customFormat="1" ht="15" customHeight="1" x14ac:dyDescent="0.25">
      <c r="A8" s="293" t="s">
        <v>1244</v>
      </c>
      <c r="B8" s="294" t="s">
        <v>1245</v>
      </c>
      <c r="C8" s="295" t="s">
        <v>1246</v>
      </c>
      <c r="D8" s="296" t="s">
        <v>1247</v>
      </c>
      <c r="E8" s="297">
        <v>481.7</v>
      </c>
      <c r="F8" s="298">
        <v>484.7</v>
      </c>
      <c r="G8" s="299">
        <f>(F8-E8)*2</f>
        <v>6</v>
      </c>
      <c r="H8" s="281">
        <v>6.05</v>
      </c>
      <c r="I8" s="300"/>
      <c r="J8" s="301"/>
      <c r="K8" s="301"/>
    </row>
    <row r="9" spans="1:11" s="283" customFormat="1" ht="15" customHeight="1" x14ac:dyDescent="0.25">
      <c r="A9" s="290"/>
      <c r="B9" s="291" t="s">
        <v>1248</v>
      </c>
      <c r="C9" s="286" t="s">
        <v>1246</v>
      </c>
      <c r="D9" s="287" t="s">
        <v>1247</v>
      </c>
      <c r="E9" s="302">
        <v>489.3</v>
      </c>
      <c r="F9" s="303">
        <v>490.5</v>
      </c>
      <c r="G9" s="304">
        <f>(F9-E9)*2</f>
        <v>2.3999999999999773</v>
      </c>
      <c r="H9" s="281">
        <v>6.05</v>
      </c>
      <c r="I9" s="257"/>
      <c r="J9" s="253"/>
      <c r="K9" s="253"/>
    </row>
    <row r="10" spans="1:11" s="305" customFormat="1" ht="15" customHeight="1" x14ac:dyDescent="0.25">
      <c r="A10" s="293" t="s">
        <v>1249</v>
      </c>
      <c r="B10" s="294" t="s">
        <v>449</v>
      </c>
      <c r="C10" s="295">
        <v>2</v>
      </c>
      <c r="D10" s="296" t="s">
        <v>1240</v>
      </c>
      <c r="E10" s="297">
        <v>380.45</v>
      </c>
      <c r="F10" s="298">
        <v>384.8</v>
      </c>
      <c r="G10" s="299">
        <f t="shared" ref="G10:G15" si="0">F10-E10</f>
        <v>4.3500000000000227</v>
      </c>
      <c r="H10" s="281">
        <v>6.05</v>
      </c>
      <c r="I10" s="257"/>
      <c r="J10" s="256"/>
      <c r="K10" s="256"/>
    </row>
    <row r="11" spans="1:11" s="305" customFormat="1" ht="15" customHeight="1" x14ac:dyDescent="0.25">
      <c r="A11" s="284"/>
      <c r="B11" s="285" t="s">
        <v>1250</v>
      </c>
      <c r="C11" s="286">
        <v>2</v>
      </c>
      <c r="D11" s="287" t="s">
        <v>1240</v>
      </c>
      <c r="E11" s="288">
        <v>391.1</v>
      </c>
      <c r="F11" s="289">
        <v>391.5</v>
      </c>
      <c r="G11" s="280">
        <f t="shared" si="0"/>
        <v>0.39999999999997726</v>
      </c>
      <c r="H11" s="281">
        <v>6.05</v>
      </c>
      <c r="I11" s="257"/>
      <c r="J11" s="256"/>
      <c r="K11" s="256"/>
    </row>
    <row r="12" spans="1:11" s="305" customFormat="1" ht="15" customHeight="1" x14ac:dyDescent="0.25">
      <c r="A12" s="284"/>
      <c r="B12" s="285" t="s">
        <v>1250</v>
      </c>
      <c r="C12" s="286">
        <v>1</v>
      </c>
      <c r="D12" s="287" t="s">
        <v>1243</v>
      </c>
      <c r="E12" s="288">
        <v>386.9</v>
      </c>
      <c r="F12" s="289">
        <v>391.1</v>
      </c>
      <c r="G12" s="280">
        <f t="shared" si="0"/>
        <v>4.2000000000000455</v>
      </c>
      <c r="H12" s="281">
        <v>6.05</v>
      </c>
      <c r="I12" s="257"/>
      <c r="J12" s="256"/>
      <c r="K12" s="256"/>
    </row>
    <row r="13" spans="1:11" s="305" customFormat="1" ht="15" customHeight="1" x14ac:dyDescent="0.25">
      <c r="A13" s="284"/>
      <c r="B13" s="285" t="s">
        <v>1251</v>
      </c>
      <c r="C13" s="286" t="s">
        <v>1252</v>
      </c>
      <c r="D13" s="287" t="s">
        <v>1240</v>
      </c>
      <c r="E13" s="288">
        <v>391.8</v>
      </c>
      <c r="F13" s="289">
        <v>392.3</v>
      </c>
      <c r="G13" s="280">
        <f t="shared" si="0"/>
        <v>0.5</v>
      </c>
      <c r="H13" s="281">
        <v>6.05</v>
      </c>
      <c r="I13" s="257"/>
      <c r="J13" s="256"/>
      <c r="K13" s="256"/>
    </row>
    <row r="14" spans="1:11" s="305" customFormat="1" ht="15" customHeight="1" x14ac:dyDescent="0.25">
      <c r="A14" s="284"/>
      <c r="B14" s="285" t="s">
        <v>1253</v>
      </c>
      <c r="C14" s="286">
        <v>2</v>
      </c>
      <c r="D14" s="287" t="s">
        <v>1240</v>
      </c>
      <c r="E14" s="288">
        <v>391.5</v>
      </c>
      <c r="F14" s="289">
        <v>397</v>
      </c>
      <c r="G14" s="280">
        <f t="shared" si="0"/>
        <v>5.5</v>
      </c>
      <c r="H14" s="281">
        <v>6.05</v>
      </c>
      <c r="I14" s="257"/>
      <c r="J14" s="256"/>
    </row>
    <row r="15" spans="1:11" s="305" customFormat="1" ht="15" customHeight="1" x14ac:dyDescent="0.25">
      <c r="A15" s="284"/>
      <c r="B15" s="285" t="s">
        <v>1253</v>
      </c>
      <c r="C15" s="286">
        <v>1</v>
      </c>
      <c r="D15" s="287" t="s">
        <v>1243</v>
      </c>
      <c r="E15" s="288">
        <v>392.5</v>
      </c>
      <c r="F15" s="289">
        <v>392.6</v>
      </c>
      <c r="G15" s="280">
        <f t="shared" si="0"/>
        <v>0.10000000000002274</v>
      </c>
      <c r="H15" s="281">
        <v>6.05</v>
      </c>
      <c r="I15" s="257"/>
      <c r="J15" s="256"/>
      <c r="K15" s="256"/>
    </row>
    <row r="16" spans="1:11" s="305" customFormat="1" ht="15" customHeight="1" x14ac:dyDescent="0.25">
      <c r="A16" s="284"/>
      <c r="B16" s="285" t="s">
        <v>1254</v>
      </c>
      <c r="C16" s="286" t="s">
        <v>1255</v>
      </c>
      <c r="D16" s="287" t="s">
        <v>1240</v>
      </c>
      <c r="E16" s="288">
        <v>397.7</v>
      </c>
      <c r="F16" s="289">
        <v>398.4</v>
      </c>
      <c r="G16" s="280">
        <v>0.7</v>
      </c>
      <c r="H16" s="281">
        <v>6.05</v>
      </c>
      <c r="I16" s="257"/>
      <c r="J16" s="256"/>
      <c r="K16" s="256"/>
    </row>
    <row r="17" spans="1:11" s="305" customFormat="1" ht="15" customHeight="1" x14ac:dyDescent="0.25">
      <c r="A17" s="284"/>
      <c r="B17" s="285" t="s">
        <v>1256</v>
      </c>
      <c r="C17" s="286">
        <v>2</v>
      </c>
      <c r="D17" s="287" t="s">
        <v>1240</v>
      </c>
      <c r="E17" s="288">
        <v>398.5</v>
      </c>
      <c r="F17" s="289">
        <v>398.9</v>
      </c>
      <c r="G17" s="280">
        <f t="shared" ref="G17:G39" si="1">F17-E17</f>
        <v>0.39999999999997726</v>
      </c>
      <c r="H17" s="281">
        <v>6.05</v>
      </c>
      <c r="I17" s="257"/>
      <c r="J17" s="256"/>
      <c r="K17" s="256"/>
    </row>
    <row r="18" spans="1:11" s="305" customFormat="1" ht="15" customHeight="1" x14ac:dyDescent="0.25">
      <c r="A18" s="284"/>
      <c r="B18" s="285" t="s">
        <v>1256</v>
      </c>
      <c r="C18" s="286">
        <v>2</v>
      </c>
      <c r="D18" s="287" t="s">
        <v>1240</v>
      </c>
      <c r="E18" s="288">
        <v>400.85</v>
      </c>
      <c r="F18" s="289">
        <v>406.1</v>
      </c>
      <c r="G18" s="280">
        <f t="shared" si="1"/>
        <v>5.25</v>
      </c>
      <c r="H18" s="281">
        <v>6.05</v>
      </c>
      <c r="I18" s="257"/>
      <c r="J18" s="256"/>
      <c r="K18" s="256"/>
    </row>
    <row r="19" spans="1:11" s="305" customFormat="1" ht="15" customHeight="1" x14ac:dyDescent="0.25">
      <c r="A19" s="284"/>
      <c r="B19" s="285" t="s">
        <v>1256</v>
      </c>
      <c r="C19" s="286">
        <v>1</v>
      </c>
      <c r="D19" s="287" t="s">
        <v>1243</v>
      </c>
      <c r="E19" s="288">
        <v>398.5</v>
      </c>
      <c r="F19" s="289">
        <v>398.9</v>
      </c>
      <c r="G19" s="280">
        <f t="shared" si="1"/>
        <v>0.39999999999997726</v>
      </c>
      <c r="H19" s="281">
        <v>6.05</v>
      </c>
      <c r="I19" s="257"/>
      <c r="J19" s="256"/>
      <c r="K19" s="256"/>
    </row>
    <row r="20" spans="1:11" s="305" customFormat="1" ht="15" customHeight="1" x14ac:dyDescent="0.25">
      <c r="A20" s="284"/>
      <c r="B20" s="285" t="s">
        <v>1256</v>
      </c>
      <c r="C20" s="286">
        <v>1</v>
      </c>
      <c r="D20" s="287" t="s">
        <v>1243</v>
      </c>
      <c r="E20" s="288">
        <v>401.85</v>
      </c>
      <c r="F20" s="289">
        <v>403.6</v>
      </c>
      <c r="G20" s="280">
        <f t="shared" si="1"/>
        <v>1.75</v>
      </c>
      <c r="H20" s="281">
        <v>6.05</v>
      </c>
      <c r="I20" s="257"/>
      <c r="J20" s="256"/>
      <c r="K20" s="256"/>
    </row>
    <row r="21" spans="1:11" s="305" customFormat="1" ht="15" customHeight="1" x14ac:dyDescent="0.25">
      <c r="A21" s="284"/>
      <c r="B21" s="285" t="s">
        <v>1257</v>
      </c>
      <c r="C21" s="286" t="s">
        <v>1258</v>
      </c>
      <c r="D21" s="287" t="s">
        <v>1243</v>
      </c>
      <c r="E21" s="288">
        <v>406.75</v>
      </c>
      <c r="F21" s="289">
        <v>406.85</v>
      </c>
      <c r="G21" s="280">
        <f t="shared" si="1"/>
        <v>0.10000000000002274</v>
      </c>
      <c r="H21" s="281">
        <v>6.05</v>
      </c>
      <c r="I21" s="257"/>
      <c r="J21" s="256"/>
      <c r="K21" s="256"/>
    </row>
    <row r="22" spans="1:11" s="305" customFormat="1" ht="15" customHeight="1" x14ac:dyDescent="0.25">
      <c r="A22" s="284"/>
      <c r="B22" s="285" t="s">
        <v>1259</v>
      </c>
      <c r="C22" s="286" t="s">
        <v>1246</v>
      </c>
      <c r="D22" s="287" t="s">
        <v>1247</v>
      </c>
      <c r="E22" s="302">
        <v>407.4</v>
      </c>
      <c r="F22" s="303">
        <v>407.5</v>
      </c>
      <c r="G22" s="304">
        <f>(F22-E22)*2</f>
        <v>0.20000000000004547</v>
      </c>
      <c r="H22" s="281">
        <v>6.05</v>
      </c>
      <c r="I22" s="257"/>
      <c r="J22" s="256"/>
      <c r="K22" s="256"/>
    </row>
    <row r="23" spans="1:11" s="305" customFormat="1" ht="15" customHeight="1" x14ac:dyDescent="0.25">
      <c r="A23" s="284"/>
      <c r="B23" s="285" t="s">
        <v>1259</v>
      </c>
      <c r="C23" s="286">
        <v>1</v>
      </c>
      <c r="D23" s="287" t="s">
        <v>1243</v>
      </c>
      <c r="E23" s="288">
        <v>408.95</v>
      </c>
      <c r="F23" s="289">
        <v>410.8</v>
      </c>
      <c r="G23" s="280">
        <f t="shared" si="1"/>
        <v>1.8500000000000227</v>
      </c>
      <c r="H23" s="281">
        <v>6.05</v>
      </c>
      <c r="I23" s="257"/>
      <c r="J23" s="256"/>
      <c r="K23" s="256"/>
    </row>
    <row r="24" spans="1:11" s="305" customFormat="1" ht="15" customHeight="1" x14ac:dyDescent="0.25">
      <c r="A24" s="284"/>
      <c r="B24" s="285" t="s">
        <v>1259</v>
      </c>
      <c r="C24" s="286">
        <v>2</v>
      </c>
      <c r="D24" s="287" t="s">
        <v>1240</v>
      </c>
      <c r="E24" s="288">
        <v>409.2</v>
      </c>
      <c r="F24" s="289">
        <v>411.25</v>
      </c>
      <c r="G24" s="280">
        <f t="shared" si="1"/>
        <v>2.0500000000000114</v>
      </c>
      <c r="H24" s="281">
        <v>6.05</v>
      </c>
      <c r="I24" s="257"/>
      <c r="J24" s="256"/>
      <c r="K24" s="256"/>
    </row>
    <row r="25" spans="1:11" s="305" customFormat="1" ht="15" customHeight="1" x14ac:dyDescent="0.25">
      <c r="A25" s="284"/>
      <c r="B25" s="285" t="s">
        <v>1260</v>
      </c>
      <c r="C25" s="286">
        <v>1</v>
      </c>
      <c r="D25" s="287" t="s">
        <v>1243</v>
      </c>
      <c r="E25" s="288">
        <v>411.3</v>
      </c>
      <c r="F25" s="289">
        <v>411.8</v>
      </c>
      <c r="G25" s="280">
        <f t="shared" si="1"/>
        <v>0.5</v>
      </c>
      <c r="H25" s="281">
        <v>6.05</v>
      </c>
      <c r="I25" s="257"/>
      <c r="J25" s="256"/>
      <c r="K25" s="256"/>
    </row>
    <row r="26" spans="1:11" s="305" customFormat="1" ht="15" customHeight="1" x14ac:dyDescent="0.25">
      <c r="A26" s="284"/>
      <c r="B26" s="285" t="s">
        <v>516</v>
      </c>
      <c r="C26" s="286"/>
      <c r="D26" s="287" t="s">
        <v>1240</v>
      </c>
      <c r="E26" s="288">
        <v>0.1</v>
      </c>
      <c r="F26" s="289">
        <v>0.78</v>
      </c>
      <c r="G26" s="280">
        <f t="shared" si="1"/>
        <v>0.68</v>
      </c>
      <c r="H26" s="281">
        <v>6.05</v>
      </c>
      <c r="I26" s="257"/>
      <c r="J26" s="256"/>
      <c r="K26" s="256"/>
    </row>
    <row r="27" spans="1:11" s="305" customFormat="1" ht="15" customHeight="1" x14ac:dyDescent="0.25">
      <c r="A27" s="284"/>
      <c r="B27" s="285" t="s">
        <v>507</v>
      </c>
      <c r="C27" s="286">
        <v>1</v>
      </c>
      <c r="D27" s="287" t="s">
        <v>1243</v>
      </c>
      <c r="E27" s="288">
        <v>413.1</v>
      </c>
      <c r="F27" s="289">
        <v>414.1</v>
      </c>
      <c r="G27" s="280">
        <f t="shared" si="1"/>
        <v>1</v>
      </c>
      <c r="H27" s="281">
        <v>6.05</v>
      </c>
      <c r="I27" s="257"/>
      <c r="J27" s="256"/>
      <c r="K27" s="256"/>
    </row>
    <row r="28" spans="1:11" s="305" customFormat="1" ht="15" customHeight="1" x14ac:dyDescent="0.25">
      <c r="A28" s="284"/>
      <c r="B28" s="285" t="s">
        <v>507</v>
      </c>
      <c r="C28" s="286">
        <v>1</v>
      </c>
      <c r="D28" s="306" t="s">
        <v>1243</v>
      </c>
      <c r="E28" s="307">
        <v>415</v>
      </c>
      <c r="F28" s="308">
        <v>418.1</v>
      </c>
      <c r="G28" s="280">
        <f t="shared" si="1"/>
        <v>3.1000000000000227</v>
      </c>
      <c r="H28" s="281">
        <v>6.05</v>
      </c>
      <c r="I28" s="257"/>
      <c r="J28" s="256"/>
      <c r="K28" s="256"/>
    </row>
    <row r="29" spans="1:11" s="305" customFormat="1" ht="15" customHeight="1" x14ac:dyDescent="0.25">
      <c r="A29" s="284"/>
      <c r="B29" s="285" t="s">
        <v>507</v>
      </c>
      <c r="C29" s="286">
        <v>1</v>
      </c>
      <c r="D29" s="309" t="s">
        <v>1243</v>
      </c>
      <c r="E29" s="307">
        <v>419</v>
      </c>
      <c r="F29" s="308">
        <v>419.3</v>
      </c>
      <c r="G29" s="280">
        <f t="shared" si="1"/>
        <v>0.30000000000001137</v>
      </c>
      <c r="H29" s="281">
        <v>6.05</v>
      </c>
      <c r="I29" s="257"/>
      <c r="J29" s="256"/>
      <c r="K29" s="256"/>
    </row>
    <row r="30" spans="1:11" s="305" customFormat="1" ht="15" customHeight="1" x14ac:dyDescent="0.25">
      <c r="A30" s="284"/>
      <c r="B30" s="285" t="s">
        <v>507</v>
      </c>
      <c r="C30" s="286">
        <v>1</v>
      </c>
      <c r="D30" s="309" t="s">
        <v>1243</v>
      </c>
      <c r="E30" s="307">
        <v>420</v>
      </c>
      <c r="F30" s="308">
        <v>422.2</v>
      </c>
      <c r="G30" s="280">
        <f t="shared" si="1"/>
        <v>2.1999999999999886</v>
      </c>
      <c r="H30" s="281">
        <v>6.05</v>
      </c>
      <c r="I30" s="257"/>
      <c r="J30" s="256"/>
      <c r="K30" s="256"/>
    </row>
    <row r="31" spans="1:11" s="305" customFormat="1" ht="15" customHeight="1" x14ac:dyDescent="0.25">
      <c r="A31" s="284"/>
      <c r="B31" s="285" t="s">
        <v>507</v>
      </c>
      <c r="C31" s="286">
        <v>2</v>
      </c>
      <c r="D31" s="309" t="s">
        <v>1240</v>
      </c>
      <c r="E31" s="307">
        <v>415.8</v>
      </c>
      <c r="F31" s="308">
        <v>418.1</v>
      </c>
      <c r="G31" s="280">
        <f t="shared" si="1"/>
        <v>2.3000000000000114</v>
      </c>
      <c r="H31" s="281">
        <v>6.05</v>
      </c>
      <c r="I31" s="257"/>
      <c r="J31" s="256"/>
      <c r="K31" s="256"/>
    </row>
    <row r="32" spans="1:11" s="305" customFormat="1" ht="15" customHeight="1" x14ac:dyDescent="0.25">
      <c r="A32" s="284"/>
      <c r="B32" s="285" t="s">
        <v>507</v>
      </c>
      <c r="C32" s="285">
        <v>2</v>
      </c>
      <c r="D32" s="310" t="s">
        <v>1240</v>
      </c>
      <c r="E32" s="307">
        <v>420.3</v>
      </c>
      <c r="F32" s="308">
        <v>421.7</v>
      </c>
      <c r="G32" s="280">
        <f t="shared" si="1"/>
        <v>1.3999999999999773</v>
      </c>
      <c r="H32" s="281">
        <v>6.05</v>
      </c>
      <c r="I32" s="257"/>
      <c r="J32" s="256"/>
      <c r="K32" s="256"/>
    </row>
    <row r="33" spans="1:11" s="305" customFormat="1" ht="15" customHeight="1" x14ac:dyDescent="0.25">
      <c r="A33" s="290"/>
      <c r="B33" s="291" t="s">
        <v>1261</v>
      </c>
      <c r="C33" s="285" t="s">
        <v>1252</v>
      </c>
      <c r="D33" s="311" t="s">
        <v>1240</v>
      </c>
      <c r="E33" s="312">
        <v>422.35</v>
      </c>
      <c r="F33" s="313">
        <v>422.95</v>
      </c>
      <c r="G33" s="314">
        <f t="shared" si="1"/>
        <v>0.59999999999996589</v>
      </c>
      <c r="H33" s="281">
        <v>6.05</v>
      </c>
      <c r="I33" s="257"/>
      <c r="J33" s="256"/>
      <c r="K33" s="256"/>
    </row>
    <row r="34" spans="1:11" s="305" customFormat="1" ht="15" customHeight="1" x14ac:dyDescent="0.25">
      <c r="A34" s="293" t="s">
        <v>1262</v>
      </c>
      <c r="B34" s="315" t="s">
        <v>90</v>
      </c>
      <c r="C34" s="316">
        <v>1</v>
      </c>
      <c r="D34" s="285" t="s">
        <v>1243</v>
      </c>
      <c r="E34" s="307">
        <v>497.3</v>
      </c>
      <c r="F34" s="308">
        <v>498.1</v>
      </c>
      <c r="G34" s="280">
        <f t="shared" si="1"/>
        <v>0.80000000000001137</v>
      </c>
      <c r="H34" s="281">
        <v>6.05</v>
      </c>
      <c r="I34" s="257"/>
      <c r="J34" s="256"/>
      <c r="K34" s="256"/>
    </row>
    <row r="35" spans="1:11" s="305" customFormat="1" ht="15" customHeight="1" x14ac:dyDescent="0.25">
      <c r="A35" s="317"/>
      <c r="B35" s="318" t="s">
        <v>90</v>
      </c>
      <c r="C35" s="319">
        <v>2</v>
      </c>
      <c r="D35" s="320" t="s">
        <v>1240</v>
      </c>
      <c r="E35" s="321">
        <v>497.3</v>
      </c>
      <c r="F35" s="322">
        <v>498.1</v>
      </c>
      <c r="G35" s="304">
        <f t="shared" si="1"/>
        <v>0.80000000000001137</v>
      </c>
      <c r="H35" s="281">
        <v>6.05</v>
      </c>
      <c r="I35" s="257"/>
      <c r="J35" s="256"/>
      <c r="K35" s="256"/>
    </row>
    <row r="36" spans="1:11" s="305" customFormat="1" ht="15" customHeight="1" x14ac:dyDescent="0.25">
      <c r="A36" s="290"/>
      <c r="B36" s="323" t="s">
        <v>90</v>
      </c>
      <c r="C36" s="311">
        <v>2</v>
      </c>
      <c r="D36" s="291" t="s">
        <v>1240</v>
      </c>
      <c r="E36" s="312">
        <v>509.9</v>
      </c>
      <c r="F36" s="313">
        <v>510.7</v>
      </c>
      <c r="G36" s="314">
        <f t="shared" si="1"/>
        <v>0.80000000000001137</v>
      </c>
      <c r="H36" s="281">
        <v>6.05</v>
      </c>
      <c r="I36" s="256"/>
      <c r="J36" s="256"/>
      <c r="K36" s="256"/>
    </row>
    <row r="37" spans="1:11" s="305" customFormat="1" ht="15" customHeight="1" x14ac:dyDescent="0.25">
      <c r="A37" s="293" t="s">
        <v>1263</v>
      </c>
      <c r="B37" s="294" t="s">
        <v>1080</v>
      </c>
      <c r="C37" s="285">
        <v>1</v>
      </c>
      <c r="D37" s="310" t="s">
        <v>1243</v>
      </c>
      <c r="E37" s="307">
        <v>4</v>
      </c>
      <c r="F37" s="308">
        <v>11</v>
      </c>
      <c r="G37" s="280">
        <v>6</v>
      </c>
      <c r="H37" s="281">
        <v>6.05</v>
      </c>
      <c r="I37" s="256"/>
      <c r="J37" s="256"/>
      <c r="K37" s="256"/>
    </row>
    <row r="38" spans="1:11" s="305" customFormat="1" ht="15" customHeight="1" x14ac:dyDescent="0.25">
      <c r="A38" s="290"/>
      <c r="B38" s="291" t="s">
        <v>1080</v>
      </c>
      <c r="C38" s="324">
        <v>2</v>
      </c>
      <c r="D38" s="323" t="s">
        <v>1240</v>
      </c>
      <c r="E38" s="312">
        <v>4</v>
      </c>
      <c r="F38" s="313">
        <v>11</v>
      </c>
      <c r="G38" s="314">
        <v>6</v>
      </c>
      <c r="H38" s="281">
        <v>6.05</v>
      </c>
      <c r="I38" s="256"/>
      <c r="J38" s="256"/>
      <c r="K38" s="256"/>
    </row>
    <row r="39" spans="1:11" s="305" customFormat="1" ht="15" customHeight="1" thickBot="1" x14ac:dyDescent="0.3">
      <c r="A39" s="325" t="s">
        <v>1264</v>
      </c>
      <c r="B39" s="326" t="s">
        <v>1265</v>
      </c>
      <c r="C39" s="327">
        <v>1</v>
      </c>
      <c r="D39" s="328" t="s">
        <v>1243</v>
      </c>
      <c r="E39" s="329">
        <v>423.75</v>
      </c>
      <c r="F39" s="330">
        <v>426.2</v>
      </c>
      <c r="G39" s="331">
        <f t="shared" si="1"/>
        <v>2.4499999999999886</v>
      </c>
      <c r="H39" s="332">
        <v>6.05</v>
      </c>
      <c r="I39" s="256"/>
      <c r="J39" s="256"/>
      <c r="K39" s="256"/>
    </row>
    <row r="40" spans="1:11" s="283" customFormat="1" ht="15" customHeight="1" thickBot="1" x14ac:dyDescent="0.3">
      <c r="A40" s="333"/>
      <c r="B40" s="309"/>
      <c r="C40" s="309"/>
      <c r="D40" s="309"/>
      <c r="E40" s="334"/>
      <c r="F40" s="334"/>
      <c r="G40" s="335">
        <f>SUM(G5:G39)</f>
        <v>69.580000000000098</v>
      </c>
      <c r="H40" s="336"/>
      <c r="I40" s="253"/>
      <c r="J40" s="253"/>
      <c r="K40" s="253"/>
    </row>
    <row r="41" spans="1:11" x14ac:dyDescent="0.25">
      <c r="C41" s="338"/>
      <c r="D41" s="338"/>
      <c r="E41" s="339"/>
      <c r="F41" s="339"/>
      <c r="G41" s="340"/>
      <c r="H41" s="340"/>
      <c r="I41" s="254"/>
      <c r="J41" s="254"/>
      <c r="K41" s="254"/>
    </row>
    <row r="42" spans="1:11" x14ac:dyDescent="0.25">
      <c r="C42" s="341"/>
      <c r="D42" s="341"/>
      <c r="E42" s="342"/>
      <c r="F42" s="342"/>
      <c r="G42" s="343"/>
      <c r="H42" s="343"/>
      <c r="I42" s="254"/>
      <c r="J42" s="254"/>
      <c r="K42" s="254"/>
    </row>
    <row r="43" spans="1:11" x14ac:dyDescent="0.25">
      <c r="C43" s="338"/>
      <c r="D43" s="338"/>
      <c r="E43" s="339"/>
      <c r="F43" s="339"/>
      <c r="G43" s="339"/>
      <c r="H43" s="339"/>
      <c r="I43" s="254"/>
      <c r="J43" s="254"/>
      <c r="K43" s="254"/>
    </row>
    <row r="44" spans="1:11" x14ac:dyDescent="0.25">
      <c r="C44" s="338"/>
      <c r="D44" s="338"/>
      <c r="E44" s="339"/>
      <c r="F44" s="339"/>
      <c r="G44" s="339"/>
      <c r="H44" s="339"/>
      <c r="I44" s="344"/>
      <c r="J44" s="344"/>
      <c r="K44" s="254"/>
    </row>
    <row r="45" spans="1:11" x14ac:dyDescent="0.25">
      <c r="C45" s="338"/>
      <c r="D45" s="338"/>
      <c r="E45" s="339"/>
      <c r="F45" s="339"/>
      <c r="G45" s="339"/>
      <c r="H45" s="339"/>
      <c r="I45" s="254"/>
      <c r="J45" s="254"/>
      <c r="K45" s="254"/>
    </row>
    <row r="47" spans="1:11" x14ac:dyDescent="0.25">
      <c r="A47" s="257"/>
      <c r="B47" s="257"/>
      <c r="C47" s="257"/>
      <c r="D47" s="345"/>
      <c r="E47" s="252"/>
      <c r="F47" s="252"/>
      <c r="G47" s="252"/>
      <c r="H47" s="252"/>
    </row>
    <row r="48" spans="1:11" x14ac:dyDescent="0.25">
      <c r="A48" s="257"/>
      <c r="B48" s="257"/>
      <c r="C48" s="257"/>
      <c r="D48" s="345"/>
      <c r="E48" s="252"/>
      <c r="F48" s="252"/>
      <c r="G48" s="252"/>
      <c r="H48" s="252"/>
    </row>
    <row r="49" spans="1:8" x14ac:dyDescent="0.25">
      <c r="A49" s="257"/>
      <c r="B49" s="257"/>
      <c r="C49" s="257"/>
      <c r="D49" s="345"/>
      <c r="E49" s="252"/>
      <c r="F49" s="252"/>
      <c r="G49" s="252"/>
      <c r="H49" s="252"/>
    </row>
  </sheetData>
  <mergeCells count="1">
    <mergeCell ref="A2:H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N101"/>
  <sheetViews>
    <sheetView zoomScaleNormal="100" zoomScaleSheetLayoutView="85" workbookViewId="0">
      <selection activeCell="E82" sqref="E82"/>
    </sheetView>
  </sheetViews>
  <sheetFormatPr defaultRowHeight="15" x14ac:dyDescent="0.25"/>
  <cols>
    <col min="2" max="2" width="12.85546875" customWidth="1"/>
    <col min="3" max="3" width="12.7109375" customWidth="1"/>
    <col min="4" max="4" width="33.140625" customWidth="1"/>
    <col min="5" max="5" width="17.7109375" customWidth="1"/>
    <col min="6" max="8" width="10.7109375" customWidth="1"/>
    <col min="9" max="9" width="24.28515625" customWidth="1"/>
    <col min="10" max="11" width="10.7109375" customWidth="1"/>
    <col min="12" max="12" width="11.140625" customWidth="1"/>
    <col min="13" max="13" width="41.5703125" bestFit="1" customWidth="1"/>
    <col min="14" max="14" width="14.7109375" customWidth="1"/>
  </cols>
  <sheetData>
    <row r="1" spans="2:14" ht="15.75" thickBot="1" x14ac:dyDescent="0.3"/>
    <row r="2" spans="2:14" ht="21" customHeight="1" thickBot="1" x14ac:dyDescent="0.3">
      <c r="B2" s="349" t="s">
        <v>18</v>
      </c>
      <c r="C2" s="350"/>
      <c r="D2" s="350"/>
      <c r="E2" s="350"/>
      <c r="F2" s="350"/>
      <c r="G2" s="350"/>
      <c r="H2" s="350"/>
      <c r="I2" s="350"/>
      <c r="J2" s="350"/>
      <c r="K2" s="350"/>
      <c r="L2" s="350"/>
      <c r="M2" s="351"/>
      <c r="N2" s="230"/>
    </row>
    <row r="3" spans="2:14" x14ac:dyDescent="0.25">
      <c r="B3" s="357" t="s">
        <v>19</v>
      </c>
      <c r="C3" s="355"/>
      <c r="D3" s="355"/>
      <c r="E3" s="355"/>
      <c r="F3" s="355"/>
      <c r="G3" s="355"/>
      <c r="H3" s="355"/>
      <c r="I3" s="355" t="s">
        <v>1003</v>
      </c>
      <c r="J3" s="355"/>
      <c r="K3" s="355"/>
      <c r="L3" s="355"/>
      <c r="M3" s="356"/>
      <c r="N3" s="231"/>
    </row>
    <row r="4" spans="2:14" x14ac:dyDescent="0.25">
      <c r="B4" s="352"/>
      <c r="C4" s="353"/>
      <c r="D4" s="353"/>
      <c r="E4" s="353"/>
      <c r="F4" s="353"/>
      <c r="G4" s="353"/>
      <c r="H4" s="353"/>
      <c r="I4" s="353"/>
      <c r="J4" s="353"/>
      <c r="K4" s="353"/>
      <c r="L4" s="353"/>
      <c r="M4" s="354"/>
      <c r="N4" s="232"/>
    </row>
    <row r="5" spans="2:14" ht="15.75" thickBot="1" x14ac:dyDescent="0.3">
      <c r="B5" s="358" t="s">
        <v>20</v>
      </c>
      <c r="C5" s="359"/>
      <c r="D5" s="359"/>
      <c r="E5" s="359" t="s">
        <v>1036</v>
      </c>
      <c r="F5" s="359"/>
      <c r="G5" s="359"/>
      <c r="H5" s="359"/>
      <c r="I5" s="359"/>
      <c r="J5" s="359" t="s">
        <v>1037</v>
      </c>
      <c r="K5" s="359"/>
      <c r="L5" s="359"/>
      <c r="M5" s="360"/>
      <c r="N5" s="233"/>
    </row>
    <row r="6" spans="2:14" ht="30" customHeight="1" thickBot="1" x14ac:dyDescent="0.3">
      <c r="B6" s="18" t="s">
        <v>12</v>
      </c>
      <c r="C6" s="19" t="s">
        <v>13</v>
      </c>
      <c r="D6" s="19" t="s">
        <v>63</v>
      </c>
      <c r="E6" s="19" t="s">
        <v>64</v>
      </c>
      <c r="F6" s="137" t="s">
        <v>998</v>
      </c>
      <c r="G6" s="137" t="s">
        <v>999</v>
      </c>
      <c r="H6" s="19" t="s">
        <v>14</v>
      </c>
      <c r="I6" s="19" t="s">
        <v>15</v>
      </c>
      <c r="J6" s="19" t="s">
        <v>1102</v>
      </c>
      <c r="K6" s="19" t="s">
        <v>1103</v>
      </c>
      <c r="L6" s="195" t="s">
        <v>16</v>
      </c>
      <c r="M6" s="20" t="s">
        <v>17</v>
      </c>
      <c r="N6" s="195" t="s">
        <v>1185</v>
      </c>
    </row>
    <row r="7" spans="2:14" ht="15" customHeight="1" x14ac:dyDescent="0.25">
      <c r="B7" s="80"/>
      <c r="C7" s="80"/>
      <c r="D7" s="48" t="s">
        <v>399</v>
      </c>
      <c r="E7" s="80"/>
      <c r="F7" s="80"/>
      <c r="G7" s="80"/>
      <c r="H7" s="80"/>
      <c r="I7" s="80"/>
      <c r="J7" s="80"/>
      <c r="K7" s="80"/>
      <c r="L7" s="80"/>
      <c r="M7" s="80"/>
      <c r="N7" s="234"/>
    </row>
    <row r="8" spans="2:14" x14ac:dyDescent="0.25">
      <c r="B8" s="9"/>
      <c r="C8" s="9"/>
      <c r="D8" s="12" t="s">
        <v>643</v>
      </c>
      <c r="E8" s="9" t="s">
        <v>31</v>
      </c>
      <c r="F8" s="147">
        <f>7.195*2</f>
        <v>14.39</v>
      </c>
      <c r="G8" s="147">
        <f>7.195*2</f>
        <v>14.39</v>
      </c>
      <c r="H8" s="155">
        <v>2</v>
      </c>
      <c r="I8" s="156" t="s">
        <v>1005</v>
      </c>
      <c r="J8" s="131"/>
      <c r="K8" s="197">
        <f>7.195*2</f>
        <v>14.39</v>
      </c>
      <c r="L8" s="8" t="s">
        <v>957</v>
      </c>
      <c r="M8" s="148" t="s">
        <v>1010</v>
      </c>
      <c r="N8" s="113"/>
    </row>
    <row r="9" spans="2:14" x14ac:dyDescent="0.25">
      <c r="B9" s="8"/>
      <c r="C9" s="8"/>
      <c r="D9" s="72" t="s">
        <v>150</v>
      </c>
      <c r="E9" s="8"/>
      <c r="F9" s="8"/>
      <c r="H9" s="155"/>
      <c r="I9" s="8"/>
      <c r="J9" s="8"/>
      <c r="K9" s="123"/>
      <c r="L9" s="8"/>
      <c r="M9" s="8"/>
      <c r="N9" s="113"/>
    </row>
    <row r="10" spans="2:14" x14ac:dyDescent="0.25">
      <c r="B10" s="8"/>
      <c r="C10" s="8"/>
      <c r="D10" s="16" t="s">
        <v>961</v>
      </c>
      <c r="E10" s="8" t="s">
        <v>151</v>
      </c>
      <c r="F10" s="42">
        <v>1.052</v>
      </c>
      <c r="G10" s="135">
        <v>1.052</v>
      </c>
      <c r="H10" s="155" t="s">
        <v>1004</v>
      </c>
      <c r="I10" s="156" t="s">
        <v>1006</v>
      </c>
      <c r="J10" s="182">
        <v>1.052</v>
      </c>
      <c r="K10" s="55"/>
      <c r="L10" s="8" t="s">
        <v>958</v>
      </c>
      <c r="M10" s="8"/>
      <c r="N10" s="113"/>
    </row>
    <row r="11" spans="2:14" x14ac:dyDescent="0.25">
      <c r="B11" s="8"/>
      <c r="C11" s="8"/>
      <c r="D11" s="13" t="s">
        <v>152</v>
      </c>
      <c r="E11" s="8" t="s">
        <v>153</v>
      </c>
      <c r="F11" s="42">
        <v>0.53800000000000003</v>
      </c>
      <c r="G11" s="135">
        <v>0.53800000000000003</v>
      </c>
      <c r="H11" s="155" t="s">
        <v>1004</v>
      </c>
      <c r="I11" s="156" t="s">
        <v>1006</v>
      </c>
      <c r="J11" s="182">
        <v>0.53800000000000003</v>
      </c>
      <c r="K11" s="55"/>
      <c r="L11" s="8" t="s">
        <v>958</v>
      </c>
      <c r="M11" s="8"/>
      <c r="N11" s="113"/>
    </row>
    <row r="12" spans="2:14" x14ac:dyDescent="0.25">
      <c r="B12" s="8"/>
      <c r="C12" s="8"/>
      <c r="D12" s="13" t="s">
        <v>154</v>
      </c>
      <c r="E12" s="8" t="s">
        <v>1072</v>
      </c>
      <c r="F12" s="42">
        <v>0.90400000000000003</v>
      </c>
      <c r="G12" s="135">
        <v>0.90400000000000003</v>
      </c>
      <c r="H12" s="155" t="s">
        <v>1004</v>
      </c>
      <c r="I12" s="156" t="s">
        <v>1006</v>
      </c>
      <c r="J12" s="182">
        <v>0.90400000000000003</v>
      </c>
      <c r="K12" s="55"/>
      <c r="L12" s="8" t="s">
        <v>958</v>
      </c>
      <c r="M12" s="8"/>
      <c r="N12" s="113"/>
    </row>
    <row r="13" spans="2:14" x14ac:dyDescent="0.25">
      <c r="B13" s="8"/>
      <c r="C13" s="8"/>
      <c r="D13" s="13" t="s">
        <v>960</v>
      </c>
      <c r="E13" s="8" t="s">
        <v>155</v>
      </c>
      <c r="F13" s="51">
        <v>1.02</v>
      </c>
      <c r="G13" s="51">
        <v>1.02</v>
      </c>
      <c r="H13" s="155" t="s">
        <v>1004</v>
      </c>
      <c r="I13" s="156" t="s">
        <v>1006</v>
      </c>
      <c r="J13" s="51">
        <v>1.02</v>
      </c>
      <c r="K13" s="55"/>
      <c r="L13" s="8" t="s">
        <v>958</v>
      </c>
      <c r="M13" s="8"/>
      <c r="N13" s="113"/>
    </row>
    <row r="14" spans="2:14" x14ac:dyDescent="0.25">
      <c r="B14" s="8"/>
      <c r="C14" s="8"/>
      <c r="D14" s="13" t="s">
        <v>35</v>
      </c>
      <c r="E14" s="8" t="s">
        <v>156</v>
      </c>
      <c r="F14" s="42">
        <v>0.754</v>
      </c>
      <c r="G14" s="135">
        <v>0.754</v>
      </c>
      <c r="H14" s="155" t="s">
        <v>1004</v>
      </c>
      <c r="I14" s="156" t="s">
        <v>1006</v>
      </c>
      <c r="J14" s="182">
        <v>0.754</v>
      </c>
      <c r="K14" s="55"/>
      <c r="L14" s="8" t="s">
        <v>958</v>
      </c>
      <c r="M14" s="8"/>
      <c r="N14" s="113"/>
    </row>
    <row r="15" spans="2:14" x14ac:dyDescent="0.25">
      <c r="B15" s="8"/>
      <c r="C15" s="8"/>
      <c r="D15" s="13" t="s">
        <v>36</v>
      </c>
      <c r="E15" s="8" t="s">
        <v>248</v>
      </c>
      <c r="F15" s="42">
        <v>0.28299999999999997</v>
      </c>
      <c r="G15" s="135">
        <v>0.28299999999999997</v>
      </c>
      <c r="H15" s="155" t="s">
        <v>1004</v>
      </c>
      <c r="I15" s="156" t="s">
        <v>1006</v>
      </c>
      <c r="J15" s="182">
        <v>0.28299999999999997</v>
      </c>
      <c r="K15" s="55"/>
      <c r="L15" s="8" t="s">
        <v>958</v>
      </c>
      <c r="M15" s="8" t="s">
        <v>249</v>
      </c>
      <c r="N15" s="113"/>
    </row>
    <row r="16" spans="2:14" x14ac:dyDescent="0.25">
      <c r="B16" s="8"/>
      <c r="C16" s="8"/>
      <c r="D16" s="13" t="s">
        <v>148</v>
      </c>
      <c r="E16" s="8"/>
      <c r="F16" s="59">
        <v>1.1140000000000001</v>
      </c>
      <c r="G16" s="135">
        <v>1.1140000000000001</v>
      </c>
      <c r="H16" s="155" t="s">
        <v>1004</v>
      </c>
      <c r="I16" s="156" t="s">
        <v>1006</v>
      </c>
      <c r="J16" s="182">
        <v>1.1140000000000001</v>
      </c>
      <c r="K16" s="55"/>
      <c r="L16" s="8" t="s">
        <v>958</v>
      </c>
      <c r="M16" s="8"/>
      <c r="N16" s="113"/>
    </row>
    <row r="17" spans="2:14" x14ac:dyDescent="0.25">
      <c r="B17" s="8"/>
      <c r="C17" s="8"/>
      <c r="D17" s="13"/>
      <c r="E17" s="42" t="s">
        <v>89</v>
      </c>
      <c r="F17" s="43">
        <f>SUM(F10:F16)</f>
        <v>5.6650000000000009</v>
      </c>
      <c r="G17" s="43">
        <f>SUM(G10:G16)</f>
        <v>5.6650000000000009</v>
      </c>
      <c r="H17" s="155"/>
      <c r="I17" s="8"/>
      <c r="J17" s="8"/>
      <c r="K17" s="123"/>
      <c r="L17" s="8"/>
      <c r="M17" s="8"/>
      <c r="N17" s="113"/>
    </row>
    <row r="18" spans="2:14" x14ac:dyDescent="0.25">
      <c r="B18" s="8"/>
      <c r="C18" s="8"/>
      <c r="D18" s="34" t="s">
        <v>644</v>
      </c>
      <c r="E18" s="8" t="s">
        <v>157</v>
      </c>
      <c r="F18" s="53">
        <f>7.31*2</f>
        <v>14.62</v>
      </c>
      <c r="G18" s="53">
        <f>7.31*2</f>
        <v>14.62</v>
      </c>
      <c r="H18" s="155">
        <v>2</v>
      </c>
      <c r="I18" s="156" t="s">
        <v>1005</v>
      </c>
      <c r="J18" s="163"/>
      <c r="K18" s="83">
        <f>7.31*2</f>
        <v>14.62</v>
      </c>
      <c r="L18" s="8" t="s">
        <v>957</v>
      </c>
      <c r="M18" s="148" t="s">
        <v>1011</v>
      </c>
      <c r="N18" s="113"/>
    </row>
    <row r="19" spans="2:14" x14ac:dyDescent="0.25">
      <c r="B19" s="8"/>
      <c r="C19" s="8"/>
      <c r="D19" s="73" t="s">
        <v>158</v>
      </c>
      <c r="E19" s="8"/>
      <c r="F19" s="8"/>
      <c r="G19" s="8"/>
      <c r="H19" s="155"/>
      <c r="I19" s="8"/>
      <c r="J19" s="8"/>
      <c r="K19" s="123"/>
      <c r="L19" s="8"/>
      <c r="M19" s="8"/>
      <c r="N19" s="113"/>
    </row>
    <row r="20" spans="2:14" x14ac:dyDescent="0.25">
      <c r="B20" s="8"/>
      <c r="C20" s="8"/>
      <c r="D20" s="16" t="s">
        <v>961</v>
      </c>
      <c r="E20" s="8" t="s">
        <v>179</v>
      </c>
      <c r="F20" s="42">
        <v>2.4569999999999999</v>
      </c>
      <c r="G20" s="135">
        <v>2.4569999999999999</v>
      </c>
      <c r="H20" s="155" t="s">
        <v>1004</v>
      </c>
      <c r="I20" s="156" t="s">
        <v>1006</v>
      </c>
      <c r="J20" s="182">
        <v>2.4569999999999999</v>
      </c>
      <c r="K20" s="55"/>
      <c r="L20" s="8" t="s">
        <v>958</v>
      </c>
      <c r="M20" s="8"/>
      <c r="N20" s="113"/>
    </row>
    <row r="21" spans="2:14" x14ac:dyDescent="0.25">
      <c r="B21" s="8"/>
      <c r="C21" s="8"/>
      <c r="D21" s="13" t="s">
        <v>152</v>
      </c>
      <c r="E21" s="8" t="s">
        <v>159</v>
      </c>
      <c r="F21" s="42">
        <v>0.76900000000000002</v>
      </c>
      <c r="G21" s="135">
        <v>0.76900000000000002</v>
      </c>
      <c r="H21" s="155" t="s">
        <v>1004</v>
      </c>
      <c r="I21" s="156" t="s">
        <v>1006</v>
      </c>
      <c r="J21" s="182">
        <v>0.76900000000000002</v>
      </c>
      <c r="K21" s="55"/>
      <c r="L21" s="8" t="s">
        <v>958</v>
      </c>
      <c r="M21" s="8"/>
      <c r="N21" s="113"/>
    </row>
    <row r="22" spans="2:14" x14ac:dyDescent="0.25">
      <c r="B22" s="8"/>
      <c r="C22" s="8"/>
      <c r="D22" s="13" t="s">
        <v>968</v>
      </c>
      <c r="E22" s="8" t="s">
        <v>160</v>
      </c>
      <c r="F22" s="42">
        <v>0.58799999999999997</v>
      </c>
      <c r="G22" s="135">
        <v>0.58799999999999997</v>
      </c>
      <c r="H22" s="155" t="s">
        <v>1004</v>
      </c>
      <c r="I22" s="156" t="s">
        <v>1006</v>
      </c>
      <c r="J22" s="182">
        <v>0.58799999999999997</v>
      </c>
      <c r="K22" s="55"/>
      <c r="L22" s="8" t="s">
        <v>958</v>
      </c>
      <c r="M22" s="8"/>
      <c r="N22" s="113"/>
    </row>
    <row r="23" spans="2:14" x14ac:dyDescent="0.25">
      <c r="B23" s="8"/>
      <c r="C23" s="8"/>
      <c r="D23" s="13" t="s">
        <v>960</v>
      </c>
      <c r="E23" s="8" t="s">
        <v>178</v>
      </c>
      <c r="F23" s="42">
        <v>2.3260000000000001</v>
      </c>
      <c r="G23" s="135">
        <v>2.3260000000000001</v>
      </c>
      <c r="H23" s="155" t="s">
        <v>1004</v>
      </c>
      <c r="I23" s="156" t="s">
        <v>1006</v>
      </c>
      <c r="J23" s="182">
        <v>2.3260000000000001</v>
      </c>
      <c r="K23" s="55"/>
      <c r="L23" s="8" t="s">
        <v>958</v>
      </c>
      <c r="M23" s="8"/>
      <c r="N23" s="113"/>
    </row>
    <row r="24" spans="2:14" x14ac:dyDescent="0.25">
      <c r="B24" s="8"/>
      <c r="C24" s="8"/>
      <c r="D24" s="13" t="s">
        <v>35</v>
      </c>
      <c r="E24" s="8" t="s">
        <v>161</v>
      </c>
      <c r="F24" s="42">
        <v>1.2050000000000001</v>
      </c>
      <c r="G24" s="135">
        <v>1.2050000000000001</v>
      </c>
      <c r="H24" s="155" t="s">
        <v>1004</v>
      </c>
      <c r="I24" s="156" t="s">
        <v>1006</v>
      </c>
      <c r="J24" s="182">
        <v>1.2050000000000001</v>
      </c>
      <c r="K24" s="55"/>
      <c r="L24" s="8" t="s">
        <v>958</v>
      </c>
      <c r="M24" s="8"/>
      <c r="N24" s="113"/>
    </row>
    <row r="25" spans="2:14" x14ac:dyDescent="0.25">
      <c r="B25" s="8"/>
      <c r="C25" s="8"/>
      <c r="D25" s="13" t="s">
        <v>36</v>
      </c>
      <c r="E25" s="8" t="s">
        <v>162</v>
      </c>
      <c r="F25" s="42">
        <v>0.65800000000000003</v>
      </c>
      <c r="G25" s="135">
        <v>0.65800000000000003</v>
      </c>
      <c r="H25" s="155" t="s">
        <v>1004</v>
      </c>
      <c r="I25" s="156" t="s">
        <v>1006</v>
      </c>
      <c r="J25" s="182">
        <v>0.65800000000000003</v>
      </c>
      <c r="K25" s="55"/>
      <c r="L25" s="8" t="s">
        <v>958</v>
      </c>
      <c r="M25" s="8"/>
      <c r="N25" s="113"/>
    </row>
    <row r="26" spans="2:14" x14ac:dyDescent="0.25">
      <c r="B26" s="8"/>
      <c r="C26" s="8"/>
      <c r="D26" s="13" t="s">
        <v>38</v>
      </c>
      <c r="E26" s="8" t="s">
        <v>164</v>
      </c>
      <c r="F26" s="42">
        <v>0.23799999999999999</v>
      </c>
      <c r="G26" s="135">
        <v>0.23799999999999999</v>
      </c>
      <c r="H26" s="155" t="s">
        <v>1004</v>
      </c>
      <c r="I26" s="156" t="s">
        <v>1006</v>
      </c>
      <c r="J26" s="182">
        <v>0.23799999999999999</v>
      </c>
      <c r="K26" s="55"/>
      <c r="L26" s="8" t="s">
        <v>958</v>
      </c>
      <c r="M26" s="8"/>
      <c r="N26" s="113"/>
    </row>
    <row r="27" spans="2:14" x14ac:dyDescent="0.25">
      <c r="B27" s="8"/>
      <c r="C27" s="8"/>
      <c r="D27" s="13" t="s">
        <v>163</v>
      </c>
      <c r="E27" s="8" t="s">
        <v>164</v>
      </c>
      <c r="F27" s="42">
        <v>0.23799999999999999</v>
      </c>
      <c r="G27" s="135">
        <v>0.23799999999999999</v>
      </c>
      <c r="H27" s="155" t="s">
        <v>1004</v>
      </c>
      <c r="I27" s="156" t="s">
        <v>1006</v>
      </c>
      <c r="J27" s="182">
        <v>0.23799999999999999</v>
      </c>
      <c r="K27" s="55"/>
      <c r="L27" s="8" t="s">
        <v>958</v>
      </c>
      <c r="M27" s="8"/>
      <c r="N27" s="113"/>
    </row>
    <row r="28" spans="2:14" x14ac:dyDescent="0.25">
      <c r="B28" s="8"/>
      <c r="C28" s="8"/>
      <c r="D28" s="13" t="s">
        <v>170</v>
      </c>
      <c r="E28" s="8" t="s">
        <v>171</v>
      </c>
      <c r="F28" s="42">
        <v>0.161</v>
      </c>
      <c r="G28" s="135">
        <v>0.161</v>
      </c>
      <c r="H28" s="155" t="s">
        <v>1004</v>
      </c>
      <c r="I28" s="156" t="s">
        <v>1006</v>
      </c>
      <c r="J28" s="182">
        <v>0.161</v>
      </c>
      <c r="K28" s="55"/>
      <c r="L28" s="8" t="s">
        <v>958</v>
      </c>
      <c r="M28" s="8"/>
      <c r="N28" s="113"/>
    </row>
    <row r="29" spans="2:14" x14ac:dyDescent="0.25">
      <c r="B29" s="8"/>
      <c r="C29" s="8"/>
      <c r="D29" s="13" t="s">
        <v>165</v>
      </c>
      <c r="E29" s="8" t="s">
        <v>166</v>
      </c>
      <c r="F29" s="42">
        <v>0.77300000000000002</v>
      </c>
      <c r="G29" s="135">
        <v>0.77300000000000002</v>
      </c>
      <c r="H29" s="155" t="s">
        <v>1004</v>
      </c>
      <c r="I29" s="156" t="s">
        <v>1006</v>
      </c>
      <c r="J29" s="182">
        <v>0.77300000000000002</v>
      </c>
      <c r="K29" s="55"/>
      <c r="L29" s="8" t="s">
        <v>958</v>
      </c>
      <c r="M29" s="8"/>
      <c r="N29" s="113"/>
    </row>
    <row r="30" spans="2:14" x14ac:dyDescent="0.25">
      <c r="B30" s="10"/>
      <c r="C30" s="10"/>
      <c r="D30" s="13" t="s">
        <v>250</v>
      </c>
      <c r="E30" s="8" t="s">
        <v>253</v>
      </c>
      <c r="F30" s="42">
        <v>6.8000000000000005E-2</v>
      </c>
      <c r="G30" s="135">
        <v>6.8000000000000005E-2</v>
      </c>
      <c r="H30" s="155" t="s">
        <v>1004</v>
      </c>
      <c r="I30" s="156" t="s">
        <v>1006</v>
      </c>
      <c r="J30" s="182">
        <v>6.8000000000000005E-2</v>
      </c>
      <c r="K30" s="55"/>
      <c r="L30" s="8" t="s">
        <v>958</v>
      </c>
      <c r="M30" s="10"/>
      <c r="N30" s="113"/>
    </row>
    <row r="31" spans="2:14" x14ac:dyDescent="0.25">
      <c r="B31" s="10"/>
      <c r="C31" s="10"/>
      <c r="D31" s="13" t="s">
        <v>251</v>
      </c>
      <c r="E31" s="8" t="s">
        <v>254</v>
      </c>
      <c r="F31" s="59">
        <v>0.106</v>
      </c>
      <c r="G31" s="135">
        <v>0.106</v>
      </c>
      <c r="H31" s="155" t="s">
        <v>1004</v>
      </c>
      <c r="I31" s="156" t="s">
        <v>1006</v>
      </c>
      <c r="J31" s="182">
        <v>0.106</v>
      </c>
      <c r="K31" s="55"/>
      <c r="L31" s="8" t="s">
        <v>958</v>
      </c>
      <c r="M31" s="10"/>
      <c r="N31" s="113"/>
    </row>
    <row r="32" spans="2:14" x14ac:dyDescent="0.25">
      <c r="B32" s="10"/>
      <c r="C32" s="10"/>
      <c r="D32" s="13" t="s">
        <v>252</v>
      </c>
      <c r="E32" s="8" t="s">
        <v>255</v>
      </c>
      <c r="F32" s="59">
        <v>0.154</v>
      </c>
      <c r="G32" s="135">
        <v>0.154</v>
      </c>
      <c r="H32" s="155" t="s">
        <v>1004</v>
      </c>
      <c r="I32" s="156" t="s">
        <v>1006</v>
      </c>
      <c r="J32" s="182">
        <v>0.154</v>
      </c>
      <c r="K32" s="55"/>
      <c r="L32" s="8" t="s">
        <v>958</v>
      </c>
      <c r="M32" s="10" t="s">
        <v>991</v>
      </c>
      <c r="N32" s="113"/>
    </row>
    <row r="33" spans="2:14" x14ac:dyDescent="0.25">
      <c r="B33" s="10"/>
      <c r="C33" s="10"/>
      <c r="D33" s="13" t="s">
        <v>167</v>
      </c>
      <c r="E33" s="8" t="s">
        <v>166</v>
      </c>
      <c r="F33" s="42">
        <v>0.77300000000000002</v>
      </c>
      <c r="G33" s="135">
        <v>0.77300000000000002</v>
      </c>
      <c r="H33" s="155" t="s">
        <v>1004</v>
      </c>
      <c r="I33" s="156" t="s">
        <v>1006</v>
      </c>
      <c r="J33" s="182">
        <v>0.77300000000000002</v>
      </c>
      <c r="K33" s="55"/>
      <c r="L33" s="8" t="s">
        <v>958</v>
      </c>
      <c r="M33" s="10"/>
      <c r="N33" s="113"/>
    </row>
    <row r="34" spans="2:14" x14ac:dyDescent="0.25">
      <c r="B34" s="8"/>
      <c r="C34" s="8"/>
      <c r="D34" s="13" t="s">
        <v>168</v>
      </c>
      <c r="E34" s="8" t="s">
        <v>169</v>
      </c>
      <c r="F34" s="42">
        <v>0.755</v>
      </c>
      <c r="G34" s="135">
        <v>0.755</v>
      </c>
      <c r="H34" s="155" t="s">
        <v>1004</v>
      </c>
      <c r="I34" s="156" t="s">
        <v>1006</v>
      </c>
      <c r="J34" s="182">
        <v>0.755</v>
      </c>
      <c r="K34" s="55"/>
      <c r="L34" s="8" t="s">
        <v>958</v>
      </c>
      <c r="M34" s="8"/>
      <c r="N34" s="113"/>
    </row>
    <row r="35" spans="2:14" x14ac:dyDescent="0.25">
      <c r="B35" s="8"/>
      <c r="C35" s="8"/>
      <c r="D35" s="13" t="s">
        <v>172</v>
      </c>
      <c r="E35" s="8" t="s">
        <v>173</v>
      </c>
      <c r="F35" s="42">
        <v>1.115</v>
      </c>
      <c r="G35" s="135">
        <v>1.115</v>
      </c>
      <c r="H35" s="155" t="s">
        <v>1004</v>
      </c>
      <c r="I35" s="156" t="s">
        <v>1006</v>
      </c>
      <c r="J35" s="182">
        <v>1.115</v>
      </c>
      <c r="K35" s="55"/>
      <c r="L35" s="8" t="s">
        <v>958</v>
      </c>
      <c r="M35" s="8"/>
      <c r="N35" s="113"/>
    </row>
    <row r="36" spans="2:14" x14ac:dyDescent="0.25">
      <c r="B36" s="8"/>
      <c r="C36" s="8"/>
      <c r="D36" s="13" t="s">
        <v>174</v>
      </c>
      <c r="E36" s="8" t="s">
        <v>176</v>
      </c>
      <c r="F36" s="42">
        <v>0.65800000000000003</v>
      </c>
      <c r="G36" s="135">
        <v>0.65800000000000003</v>
      </c>
      <c r="H36" s="155" t="s">
        <v>1004</v>
      </c>
      <c r="I36" s="156" t="s">
        <v>1006</v>
      </c>
      <c r="J36" s="182">
        <v>0.65800000000000003</v>
      </c>
      <c r="K36" s="55"/>
      <c r="L36" s="8" t="s">
        <v>958</v>
      </c>
      <c r="M36" s="8"/>
      <c r="N36" s="113"/>
    </row>
    <row r="37" spans="2:14" x14ac:dyDescent="0.25">
      <c r="B37" s="8"/>
      <c r="C37" s="8"/>
      <c r="D37" s="13" t="s">
        <v>175</v>
      </c>
      <c r="E37" s="8" t="s">
        <v>176</v>
      </c>
      <c r="F37" s="42">
        <v>0.65800000000000003</v>
      </c>
      <c r="G37" s="135">
        <v>0.65800000000000003</v>
      </c>
      <c r="H37" s="155" t="s">
        <v>1004</v>
      </c>
      <c r="I37" s="156" t="s">
        <v>1006</v>
      </c>
      <c r="J37" s="182">
        <v>0.65800000000000003</v>
      </c>
      <c r="K37" s="55"/>
      <c r="L37" s="8" t="s">
        <v>958</v>
      </c>
      <c r="M37" s="8"/>
      <c r="N37" s="113"/>
    </row>
    <row r="38" spans="2:14" x14ac:dyDescent="0.25">
      <c r="B38" s="8"/>
      <c r="C38" s="8"/>
      <c r="D38" s="13" t="s">
        <v>148</v>
      </c>
      <c r="E38" s="8"/>
      <c r="F38" s="42">
        <v>2.887</v>
      </c>
      <c r="G38" s="135">
        <v>2.887</v>
      </c>
      <c r="H38" s="155" t="s">
        <v>1004</v>
      </c>
      <c r="I38" s="156" t="s">
        <v>1006</v>
      </c>
      <c r="J38" s="182">
        <v>2.887</v>
      </c>
      <c r="K38" s="55"/>
      <c r="L38" s="8" t="s">
        <v>958</v>
      </c>
      <c r="M38" s="8"/>
      <c r="N38" s="113"/>
    </row>
    <row r="39" spans="2:14" x14ac:dyDescent="0.25">
      <c r="B39" s="8"/>
      <c r="C39" s="8"/>
      <c r="D39" s="13"/>
      <c r="E39" s="42" t="s">
        <v>89</v>
      </c>
      <c r="F39" s="52">
        <f>SUM(F20:F38)</f>
        <v>16.586999999999996</v>
      </c>
      <c r="G39" s="52">
        <f>SUM(G20:G38)</f>
        <v>16.586999999999996</v>
      </c>
      <c r="H39" s="155"/>
      <c r="I39" s="8"/>
      <c r="J39" s="8"/>
      <c r="K39" s="123"/>
      <c r="L39" s="8"/>
      <c r="M39" s="8"/>
      <c r="N39" s="113"/>
    </row>
    <row r="40" spans="2:14" x14ac:dyDescent="0.25">
      <c r="B40" s="8"/>
      <c r="C40" s="8"/>
      <c r="D40" s="34" t="s">
        <v>645</v>
      </c>
      <c r="E40" s="8" t="s">
        <v>177</v>
      </c>
      <c r="F40" s="52">
        <f>6.307*2</f>
        <v>12.614000000000001</v>
      </c>
      <c r="G40" s="52">
        <f>6.307*2</f>
        <v>12.614000000000001</v>
      </c>
      <c r="H40" s="155">
        <v>2</v>
      </c>
      <c r="I40" s="156" t="s">
        <v>1005</v>
      </c>
      <c r="J40" s="163"/>
      <c r="K40" s="55">
        <f>6.307*2</f>
        <v>12.614000000000001</v>
      </c>
      <c r="L40" s="8" t="s">
        <v>957</v>
      </c>
      <c r="M40" s="148" t="s">
        <v>1012</v>
      </c>
      <c r="N40" s="113"/>
    </row>
    <row r="41" spans="2:14" x14ac:dyDescent="0.25">
      <c r="B41" s="8"/>
      <c r="C41" s="8"/>
      <c r="D41" s="72" t="s">
        <v>180</v>
      </c>
      <c r="E41" s="8"/>
      <c r="F41" s="42"/>
      <c r="H41" s="155"/>
      <c r="I41" s="8"/>
      <c r="J41" s="8"/>
      <c r="K41" s="123"/>
      <c r="L41" s="8"/>
      <c r="M41" s="8"/>
      <c r="N41" s="113"/>
    </row>
    <row r="42" spans="2:14" x14ac:dyDescent="0.25">
      <c r="B42" s="8"/>
      <c r="C42" s="8"/>
      <c r="D42" s="16" t="s">
        <v>961</v>
      </c>
      <c r="E42" s="8" t="s">
        <v>182</v>
      </c>
      <c r="F42" s="42">
        <v>0</v>
      </c>
      <c r="G42" s="169">
        <v>0</v>
      </c>
      <c r="H42" s="155" t="s">
        <v>1004</v>
      </c>
      <c r="I42" s="156" t="s">
        <v>1006</v>
      </c>
      <c r="J42" s="251">
        <v>0</v>
      </c>
      <c r="K42" s="55"/>
      <c r="L42" s="8" t="s">
        <v>958</v>
      </c>
      <c r="M42" s="8"/>
      <c r="N42" s="113"/>
    </row>
    <row r="43" spans="2:14" x14ac:dyDescent="0.25">
      <c r="B43" s="8"/>
      <c r="C43" s="8"/>
      <c r="D43" s="13" t="s">
        <v>152</v>
      </c>
      <c r="E43" s="8" t="s">
        <v>1094</v>
      </c>
      <c r="F43" s="51">
        <v>0.4</v>
      </c>
      <c r="G43" s="51">
        <v>0.4</v>
      </c>
      <c r="H43" s="155" t="s">
        <v>1004</v>
      </c>
      <c r="I43" s="156" t="s">
        <v>1006</v>
      </c>
      <c r="J43" s="51">
        <v>0.4</v>
      </c>
      <c r="K43" s="55"/>
      <c r="L43" s="8" t="s">
        <v>958</v>
      </c>
      <c r="M43" s="8" t="s">
        <v>1182</v>
      </c>
      <c r="N43" s="113"/>
    </row>
    <row r="44" spans="2:14" x14ac:dyDescent="0.25">
      <c r="B44" s="8"/>
      <c r="C44" s="8"/>
      <c r="D44" s="13" t="s">
        <v>1096</v>
      </c>
      <c r="E44" s="8" t="s">
        <v>1095</v>
      </c>
      <c r="F44" s="45">
        <v>0.63200000000000001</v>
      </c>
      <c r="G44" s="180">
        <v>0.63200000000000001</v>
      </c>
      <c r="H44" s="155" t="s">
        <v>1004</v>
      </c>
      <c r="I44" s="156" t="s">
        <v>1006</v>
      </c>
      <c r="J44" s="182">
        <v>0.63200000000000001</v>
      </c>
      <c r="K44" s="55"/>
      <c r="L44" s="8" t="s">
        <v>958</v>
      </c>
      <c r="M44" s="58"/>
      <c r="N44" s="113"/>
    </row>
    <row r="45" spans="2:14" x14ac:dyDescent="0.25">
      <c r="B45" s="8"/>
      <c r="C45" s="8"/>
      <c r="D45" s="13" t="s">
        <v>154</v>
      </c>
      <c r="E45" s="8" t="s">
        <v>1097</v>
      </c>
      <c r="F45" s="51">
        <v>0.48</v>
      </c>
      <c r="G45" s="51">
        <v>0.48</v>
      </c>
      <c r="H45" s="155" t="s">
        <v>1004</v>
      </c>
      <c r="I45" s="156" t="s">
        <v>1006</v>
      </c>
      <c r="J45" s="51">
        <v>0.48</v>
      </c>
      <c r="K45" s="55"/>
      <c r="L45" s="8" t="s">
        <v>958</v>
      </c>
      <c r="M45" s="8"/>
      <c r="N45" s="113"/>
    </row>
    <row r="46" spans="2:14" x14ac:dyDescent="0.25">
      <c r="B46" s="8"/>
      <c r="C46" s="8"/>
      <c r="D46" s="13" t="s">
        <v>1088</v>
      </c>
      <c r="E46" s="8" t="s">
        <v>1098</v>
      </c>
      <c r="F46" s="51">
        <v>0.22800000000000001</v>
      </c>
      <c r="G46" s="51">
        <v>0.22800000000000001</v>
      </c>
      <c r="H46" s="179" t="s">
        <v>1004</v>
      </c>
      <c r="I46" s="156" t="s">
        <v>1006</v>
      </c>
      <c r="J46" s="51">
        <v>0.22800000000000001</v>
      </c>
      <c r="K46" s="55"/>
      <c r="L46" s="8" t="s">
        <v>958</v>
      </c>
      <c r="M46" s="8"/>
      <c r="N46" s="113"/>
    </row>
    <row r="47" spans="2:14" x14ac:dyDescent="0.25">
      <c r="B47" s="8"/>
      <c r="C47" s="8"/>
      <c r="D47" s="13" t="s">
        <v>37</v>
      </c>
      <c r="E47" s="8" t="s">
        <v>185</v>
      </c>
      <c r="F47" s="42">
        <v>0.245</v>
      </c>
      <c r="G47" s="135">
        <v>0.245</v>
      </c>
      <c r="H47" s="155" t="s">
        <v>1004</v>
      </c>
      <c r="I47" s="156" t="s">
        <v>1006</v>
      </c>
      <c r="J47" s="182">
        <v>0.245</v>
      </c>
      <c r="K47" s="55"/>
      <c r="L47" s="8" t="s">
        <v>958</v>
      </c>
      <c r="M47" s="8"/>
      <c r="N47" s="113"/>
    </row>
    <row r="48" spans="2:14" x14ac:dyDescent="0.25">
      <c r="B48" s="8"/>
      <c r="C48" s="8"/>
      <c r="D48" s="13" t="s">
        <v>39</v>
      </c>
      <c r="E48" s="8" t="s">
        <v>1101</v>
      </c>
      <c r="F48" s="181">
        <v>0.32200000000000001</v>
      </c>
      <c r="G48" s="181">
        <v>0.32200000000000001</v>
      </c>
      <c r="H48" s="181" t="s">
        <v>1004</v>
      </c>
      <c r="I48" s="156" t="s">
        <v>1006</v>
      </c>
      <c r="J48" s="182">
        <v>0.32200000000000001</v>
      </c>
      <c r="K48" s="55"/>
      <c r="L48" s="8" t="s">
        <v>958</v>
      </c>
      <c r="M48" s="8"/>
      <c r="N48" s="113"/>
    </row>
    <row r="49" spans="2:14" x14ac:dyDescent="0.25">
      <c r="B49" s="8"/>
      <c r="C49" s="8"/>
      <c r="D49" s="13" t="s">
        <v>40</v>
      </c>
      <c r="E49" s="8" t="s">
        <v>1099</v>
      </c>
      <c r="F49" s="45">
        <v>0.26600000000000001</v>
      </c>
      <c r="G49" s="180">
        <v>0.26600000000000001</v>
      </c>
      <c r="H49" s="155" t="s">
        <v>1004</v>
      </c>
      <c r="I49" s="156" t="s">
        <v>1006</v>
      </c>
      <c r="J49" s="182">
        <v>0.26600000000000001</v>
      </c>
      <c r="K49" s="55"/>
      <c r="L49" s="8" t="s">
        <v>958</v>
      </c>
      <c r="M49" s="8"/>
      <c r="N49" s="113"/>
    </row>
    <row r="50" spans="2:14" x14ac:dyDescent="0.25">
      <c r="B50" s="8"/>
      <c r="C50" s="8"/>
      <c r="D50" s="13" t="s">
        <v>960</v>
      </c>
      <c r="E50" s="8" t="s">
        <v>184</v>
      </c>
      <c r="F50" s="51">
        <v>1.07</v>
      </c>
      <c r="G50" s="51">
        <v>1.07</v>
      </c>
      <c r="H50" s="155" t="s">
        <v>1004</v>
      </c>
      <c r="I50" s="156" t="s">
        <v>1006</v>
      </c>
      <c r="J50" s="51">
        <v>1.07</v>
      </c>
      <c r="K50" s="55"/>
      <c r="L50" s="8" t="s">
        <v>958</v>
      </c>
      <c r="M50" s="8"/>
      <c r="N50" s="113"/>
    </row>
    <row r="51" spans="2:14" x14ac:dyDescent="0.25">
      <c r="B51" s="8"/>
      <c r="C51" s="8"/>
      <c r="D51" s="13" t="s">
        <v>36</v>
      </c>
      <c r="E51" s="8" t="s">
        <v>1100</v>
      </c>
      <c r="F51" s="179">
        <v>0.75600000000000001</v>
      </c>
      <c r="G51" s="180">
        <v>0.75600000000000001</v>
      </c>
      <c r="H51" s="155" t="s">
        <v>1004</v>
      </c>
      <c r="I51" s="156" t="s">
        <v>1006</v>
      </c>
      <c r="J51" s="182">
        <v>0.75600000000000001</v>
      </c>
      <c r="K51" s="55"/>
      <c r="L51" s="8" t="s">
        <v>958</v>
      </c>
      <c r="M51" s="8"/>
      <c r="N51" s="113"/>
    </row>
    <row r="52" spans="2:14" x14ac:dyDescent="0.25">
      <c r="B52" s="8"/>
      <c r="C52" s="8"/>
      <c r="D52" s="13" t="s">
        <v>148</v>
      </c>
      <c r="E52" s="8"/>
      <c r="F52" s="51">
        <v>2.1280000000000001</v>
      </c>
      <c r="G52" s="51">
        <v>2.1280000000000001</v>
      </c>
      <c r="H52" s="155" t="s">
        <v>1004</v>
      </c>
      <c r="I52" s="156" t="s">
        <v>1006</v>
      </c>
      <c r="J52" s="51">
        <v>2.1280000000000001</v>
      </c>
      <c r="K52" s="55"/>
      <c r="L52" s="8" t="s">
        <v>958</v>
      </c>
      <c r="M52" s="57"/>
      <c r="N52" s="113"/>
    </row>
    <row r="53" spans="2:14" x14ac:dyDescent="0.25">
      <c r="B53" s="8"/>
      <c r="C53" s="8"/>
      <c r="D53" s="8"/>
      <c r="E53" s="45" t="s">
        <v>89</v>
      </c>
      <c r="F53" s="52">
        <f>SUM(F42:F52)</f>
        <v>6.5270000000000001</v>
      </c>
      <c r="G53" s="52">
        <f>SUM(G42:G52)</f>
        <v>6.5270000000000001</v>
      </c>
      <c r="H53" s="155"/>
      <c r="I53" s="8"/>
      <c r="J53" s="8"/>
      <c r="K53" s="123"/>
      <c r="L53" s="8"/>
      <c r="M53" s="57"/>
      <c r="N53" s="113"/>
    </row>
    <row r="54" spans="2:14" x14ac:dyDescent="0.25">
      <c r="B54" s="8"/>
      <c r="C54" s="8"/>
      <c r="D54" s="34" t="s">
        <v>970</v>
      </c>
      <c r="E54" s="8" t="s">
        <v>183</v>
      </c>
      <c r="F54" s="52">
        <f>3.399*2</f>
        <v>6.798</v>
      </c>
      <c r="G54" s="52">
        <f>3.399*2</f>
        <v>6.798</v>
      </c>
      <c r="H54" s="155">
        <v>2</v>
      </c>
      <c r="I54" s="156" t="s">
        <v>1005</v>
      </c>
      <c r="J54" s="163"/>
      <c r="K54" s="55">
        <f>3.399*2</f>
        <v>6.798</v>
      </c>
      <c r="L54" s="8" t="s">
        <v>957</v>
      </c>
      <c r="M54" s="148" t="s">
        <v>1013</v>
      </c>
      <c r="N54" s="9"/>
    </row>
    <row r="56" spans="2:14" x14ac:dyDescent="0.25">
      <c r="B56" s="128" t="s">
        <v>30</v>
      </c>
      <c r="C56" s="128"/>
      <c r="D56" s="128"/>
      <c r="E56" s="128"/>
      <c r="F56" s="128"/>
      <c r="G56" s="128"/>
      <c r="H56" s="128"/>
      <c r="I56" s="128"/>
      <c r="J56" s="13" t="s">
        <v>1001</v>
      </c>
      <c r="K56" s="198">
        <f>K54+K40+K18+K8</f>
        <v>48.421999999999997</v>
      </c>
      <c r="L56" s="128"/>
      <c r="M56" s="128"/>
    </row>
    <row r="58" spans="2:14" ht="15.75" thickBot="1" x14ac:dyDescent="0.3"/>
    <row r="59" spans="2:14" ht="19.5" thickBot="1" x14ac:dyDescent="0.3">
      <c r="B59" s="349" t="s">
        <v>18</v>
      </c>
      <c r="C59" s="350"/>
      <c r="D59" s="350"/>
      <c r="E59" s="350"/>
      <c r="F59" s="350"/>
      <c r="G59" s="350"/>
      <c r="H59" s="350"/>
      <c r="I59" s="350"/>
      <c r="J59" s="350"/>
      <c r="K59" s="350"/>
      <c r="L59" s="350"/>
      <c r="M59" s="351"/>
      <c r="N59" s="230"/>
    </row>
    <row r="60" spans="2:14" x14ac:dyDescent="0.25">
      <c r="B60" s="357" t="s">
        <v>19</v>
      </c>
      <c r="C60" s="355"/>
      <c r="D60" s="355"/>
      <c r="E60" s="355"/>
      <c r="F60" s="355"/>
      <c r="G60" s="355"/>
      <c r="H60" s="355"/>
      <c r="I60" s="355" t="s">
        <v>1003</v>
      </c>
      <c r="J60" s="355"/>
      <c r="K60" s="355"/>
      <c r="L60" s="355"/>
      <c r="M60" s="356"/>
      <c r="N60" s="231"/>
    </row>
    <row r="61" spans="2:14" x14ac:dyDescent="0.25">
      <c r="B61" s="352"/>
      <c r="C61" s="353"/>
      <c r="D61" s="353"/>
      <c r="E61" s="353"/>
      <c r="F61" s="353"/>
      <c r="G61" s="353"/>
      <c r="H61" s="353"/>
      <c r="I61" s="353"/>
      <c r="J61" s="353"/>
      <c r="K61" s="353"/>
      <c r="L61" s="353"/>
      <c r="M61" s="354"/>
      <c r="N61" s="232"/>
    </row>
    <row r="62" spans="2:14" ht="15.75" thickBot="1" x14ac:dyDescent="0.3">
      <c r="B62" s="358" t="s">
        <v>20</v>
      </c>
      <c r="C62" s="359"/>
      <c r="D62" s="359"/>
      <c r="E62" s="359" t="s">
        <v>1036</v>
      </c>
      <c r="F62" s="359"/>
      <c r="G62" s="359"/>
      <c r="H62" s="359"/>
      <c r="I62" s="359"/>
      <c r="J62" s="359" t="s">
        <v>1037</v>
      </c>
      <c r="K62" s="359"/>
      <c r="L62" s="359"/>
      <c r="M62" s="360"/>
      <c r="N62" s="233"/>
    </row>
    <row r="63" spans="2:14" ht="30" customHeight="1" thickBot="1" x14ac:dyDescent="0.3">
      <c r="B63" s="18" t="s">
        <v>12</v>
      </c>
      <c r="C63" s="19" t="s">
        <v>13</v>
      </c>
      <c r="D63" s="19" t="s">
        <v>63</v>
      </c>
      <c r="E63" s="19" t="s">
        <v>64</v>
      </c>
      <c r="F63" s="137" t="s">
        <v>998</v>
      </c>
      <c r="G63" s="137" t="s">
        <v>999</v>
      </c>
      <c r="H63" s="19" t="s">
        <v>14</v>
      </c>
      <c r="I63" s="19" t="s">
        <v>15</v>
      </c>
      <c r="J63" s="19" t="s">
        <v>1102</v>
      </c>
      <c r="K63" s="19" t="s">
        <v>1103</v>
      </c>
      <c r="L63" s="195" t="s">
        <v>16</v>
      </c>
      <c r="M63" s="20" t="s">
        <v>17</v>
      </c>
      <c r="N63" s="195" t="s">
        <v>1185</v>
      </c>
    </row>
    <row r="64" spans="2:14" x14ac:dyDescent="0.25">
      <c r="B64" s="8"/>
      <c r="C64" s="8"/>
      <c r="D64" s="54" t="s">
        <v>969</v>
      </c>
      <c r="E64" s="8"/>
      <c r="F64" s="55"/>
      <c r="G64" s="55"/>
      <c r="H64" s="155"/>
      <c r="I64" s="8"/>
      <c r="J64" s="8"/>
      <c r="K64" s="8"/>
      <c r="L64" s="8"/>
      <c r="M64" s="8"/>
      <c r="N64" s="234"/>
    </row>
    <row r="65" spans="2:14" x14ac:dyDescent="0.25">
      <c r="B65" s="8"/>
      <c r="C65" s="8"/>
      <c r="D65" s="34" t="s">
        <v>977</v>
      </c>
      <c r="E65" s="8" t="s">
        <v>978</v>
      </c>
      <c r="F65" s="52">
        <v>5.4660000000000002</v>
      </c>
      <c r="G65" s="52">
        <v>5.4660000000000002</v>
      </c>
      <c r="H65" s="155" t="s">
        <v>1004</v>
      </c>
      <c r="I65" s="156" t="s">
        <v>1006</v>
      </c>
      <c r="J65" s="55"/>
      <c r="K65" s="55">
        <v>5.4660000000000002</v>
      </c>
      <c r="L65" s="8" t="s">
        <v>958</v>
      </c>
      <c r="M65" s="58"/>
      <c r="N65" s="113"/>
    </row>
    <row r="66" spans="2:14" x14ac:dyDescent="0.25">
      <c r="B66" s="8"/>
      <c r="C66" s="8"/>
      <c r="D66" s="57" t="s">
        <v>979</v>
      </c>
      <c r="E66" s="8"/>
      <c r="F66" s="55"/>
      <c r="G66" s="55"/>
      <c r="H66" s="155"/>
      <c r="I66" s="8"/>
      <c r="J66" s="123"/>
      <c r="K66" s="123"/>
      <c r="L66" s="8"/>
      <c r="M66" s="8"/>
      <c r="N66" s="113"/>
    </row>
    <row r="67" spans="2:14" x14ac:dyDescent="0.25">
      <c r="B67" s="8"/>
      <c r="C67" s="8"/>
      <c r="D67" s="13" t="s">
        <v>725</v>
      </c>
      <c r="E67" s="61" t="s">
        <v>989</v>
      </c>
      <c r="F67" s="52">
        <v>0.27800000000000002</v>
      </c>
      <c r="G67" s="52">
        <v>0.27800000000000002</v>
      </c>
      <c r="H67" s="155" t="s">
        <v>1004</v>
      </c>
      <c r="I67" s="156" t="s">
        <v>1006</v>
      </c>
      <c r="J67" s="55"/>
      <c r="K67" s="55">
        <v>0.27800000000000002</v>
      </c>
      <c r="L67" s="8" t="s">
        <v>958</v>
      </c>
      <c r="M67" s="58"/>
      <c r="N67" s="113"/>
    </row>
    <row r="68" spans="2:14" x14ac:dyDescent="0.25">
      <c r="B68" s="8"/>
      <c r="C68" s="8"/>
      <c r="D68" s="124" t="s">
        <v>980</v>
      </c>
      <c r="E68" s="8" t="s">
        <v>984</v>
      </c>
      <c r="F68" s="53">
        <v>3.1389999999999998</v>
      </c>
      <c r="G68" s="53">
        <v>3.1389999999999998</v>
      </c>
      <c r="H68" s="155" t="s">
        <v>1004</v>
      </c>
      <c r="I68" s="156" t="s">
        <v>1006</v>
      </c>
      <c r="J68" s="55"/>
      <c r="K68" s="83">
        <v>3.1389999999999998</v>
      </c>
      <c r="L68" s="8" t="s">
        <v>958</v>
      </c>
      <c r="M68" s="58"/>
      <c r="N68" s="113"/>
    </row>
    <row r="69" spans="2:14" x14ac:dyDescent="0.25">
      <c r="B69" s="8"/>
      <c r="C69" s="8"/>
      <c r="D69" s="57" t="s">
        <v>987</v>
      </c>
      <c r="E69" s="8"/>
      <c r="F69" s="83"/>
      <c r="G69" s="138"/>
      <c r="H69" s="155"/>
      <c r="I69" s="8"/>
      <c r="J69" s="123"/>
      <c r="K69" s="123"/>
      <c r="L69" s="8"/>
      <c r="M69" s="8"/>
      <c r="N69" s="113"/>
    </row>
    <row r="70" spans="2:14" x14ac:dyDescent="0.25">
      <c r="B70" s="8"/>
      <c r="C70" s="8"/>
      <c r="D70" s="13" t="s">
        <v>725</v>
      </c>
      <c r="E70" s="61" t="s">
        <v>990</v>
      </c>
      <c r="F70" s="83">
        <v>0.27700000000000002</v>
      </c>
      <c r="G70" s="83">
        <v>0.27700000000000002</v>
      </c>
      <c r="H70" s="155" t="s">
        <v>1004</v>
      </c>
      <c r="I70" s="156" t="s">
        <v>1006</v>
      </c>
      <c r="J70" s="83">
        <v>0.27700000000000002</v>
      </c>
      <c r="K70" s="55"/>
      <c r="L70" s="8" t="s">
        <v>958</v>
      </c>
      <c r="M70" s="58"/>
      <c r="N70" s="113"/>
    </row>
    <row r="71" spans="2:14" x14ac:dyDescent="0.25">
      <c r="B71" s="8"/>
      <c r="C71" s="8"/>
      <c r="D71" s="13" t="s">
        <v>32</v>
      </c>
      <c r="E71" s="123" t="s">
        <v>994</v>
      </c>
      <c r="F71" s="83">
        <v>0.35299999999999998</v>
      </c>
      <c r="G71" s="83">
        <v>0.35299999999999998</v>
      </c>
      <c r="H71" s="155" t="s">
        <v>1004</v>
      </c>
      <c r="I71" s="156" t="s">
        <v>1006</v>
      </c>
      <c r="J71" s="83">
        <v>0.35299999999999998</v>
      </c>
      <c r="K71" s="55"/>
      <c r="L71" s="8" t="s">
        <v>958</v>
      </c>
      <c r="M71" s="58"/>
      <c r="N71" s="113"/>
    </row>
    <row r="72" spans="2:14" x14ac:dyDescent="0.25">
      <c r="B72" s="8"/>
      <c r="C72" s="8"/>
      <c r="D72" s="13" t="s">
        <v>33</v>
      </c>
      <c r="E72" s="61" t="s">
        <v>995</v>
      </c>
      <c r="F72" s="83">
        <v>0.27700000000000002</v>
      </c>
      <c r="G72" s="83">
        <v>0.27700000000000002</v>
      </c>
      <c r="H72" s="155" t="s">
        <v>1004</v>
      </c>
      <c r="I72" s="156" t="s">
        <v>1006</v>
      </c>
      <c r="J72" s="83">
        <v>0.27700000000000002</v>
      </c>
      <c r="K72" s="55"/>
      <c r="L72" s="8" t="s">
        <v>958</v>
      </c>
      <c r="M72" s="58"/>
      <c r="N72" s="113"/>
    </row>
    <row r="73" spans="2:14" x14ac:dyDescent="0.25">
      <c r="B73" s="8"/>
      <c r="C73" s="8"/>
      <c r="D73" s="13" t="s">
        <v>148</v>
      </c>
      <c r="E73" s="8"/>
      <c r="F73" s="51">
        <v>0.19900000000000001</v>
      </c>
      <c r="G73" s="51">
        <v>0.19900000000000001</v>
      </c>
      <c r="H73" s="155" t="s">
        <v>1004</v>
      </c>
      <c r="I73" s="156" t="s">
        <v>1006</v>
      </c>
      <c r="J73" s="83">
        <v>0.19900000000000001</v>
      </c>
      <c r="K73" s="55"/>
      <c r="L73" s="8" t="s">
        <v>958</v>
      </c>
      <c r="M73" s="58"/>
      <c r="N73" s="113"/>
    </row>
    <row r="74" spans="2:14" x14ac:dyDescent="0.25">
      <c r="B74" s="8"/>
      <c r="C74" s="8"/>
      <c r="D74" s="34"/>
      <c r="E74" s="132" t="s">
        <v>89</v>
      </c>
      <c r="F74" s="53">
        <f>SUM(F70:F73)</f>
        <v>1.1060000000000001</v>
      </c>
      <c r="G74" s="53">
        <f>SUM(G70:G73)</f>
        <v>1.1060000000000001</v>
      </c>
      <c r="H74" s="155"/>
      <c r="I74" s="27"/>
      <c r="J74" s="83"/>
      <c r="K74" s="55"/>
      <c r="L74" s="8"/>
      <c r="M74" s="57"/>
      <c r="N74" s="113"/>
    </row>
    <row r="75" spans="2:14" x14ac:dyDescent="0.25">
      <c r="B75" s="8"/>
      <c r="C75" s="8"/>
      <c r="D75" s="54" t="s">
        <v>203</v>
      </c>
      <c r="E75" s="8"/>
      <c r="F75" s="55"/>
      <c r="G75" s="55"/>
      <c r="H75" s="155"/>
      <c r="I75" s="8"/>
      <c r="J75" s="123"/>
      <c r="K75" s="123"/>
      <c r="L75" s="8"/>
      <c r="M75" s="8"/>
      <c r="N75" s="113"/>
    </row>
    <row r="76" spans="2:14" x14ac:dyDescent="0.25">
      <c r="B76" s="8"/>
      <c r="C76" s="8"/>
      <c r="D76" s="34" t="s">
        <v>972</v>
      </c>
      <c r="E76" s="8" t="s">
        <v>188</v>
      </c>
      <c r="F76" s="52">
        <v>6.1449999999999996</v>
      </c>
      <c r="G76" s="52">
        <v>6.1449999999999996</v>
      </c>
      <c r="H76" s="155" t="s">
        <v>1004</v>
      </c>
      <c r="I76" s="156" t="s">
        <v>1006</v>
      </c>
      <c r="J76" s="55"/>
      <c r="K76" s="55">
        <v>6.1449999999999996</v>
      </c>
      <c r="L76" s="8" t="s">
        <v>958</v>
      </c>
      <c r="M76" s="8"/>
      <c r="N76" s="113"/>
    </row>
    <row r="77" spans="2:14" x14ac:dyDescent="0.25">
      <c r="B77" s="8"/>
      <c r="C77" s="8"/>
      <c r="D77" s="57" t="s">
        <v>189</v>
      </c>
      <c r="F77" s="42"/>
      <c r="G77" s="135"/>
      <c r="H77" s="155"/>
      <c r="I77" s="8"/>
      <c r="J77" s="55"/>
      <c r="K77" s="55"/>
      <c r="L77" s="8"/>
      <c r="M77" s="8"/>
      <c r="N77" s="113"/>
    </row>
    <row r="78" spans="2:14" x14ac:dyDescent="0.25">
      <c r="B78" s="8"/>
      <c r="C78" s="8"/>
      <c r="D78" s="16" t="s">
        <v>190</v>
      </c>
      <c r="E78" s="8" t="s">
        <v>993</v>
      </c>
      <c r="F78" s="53">
        <v>0.26800000000000002</v>
      </c>
      <c r="G78" s="53">
        <v>0.26800000000000002</v>
      </c>
      <c r="H78" s="155" t="s">
        <v>1004</v>
      </c>
      <c r="I78" s="156" t="s">
        <v>1006</v>
      </c>
      <c r="J78" s="83"/>
      <c r="K78" s="83">
        <v>0.26800000000000002</v>
      </c>
      <c r="L78" s="8" t="s">
        <v>958</v>
      </c>
      <c r="M78" s="8"/>
      <c r="N78" s="113"/>
    </row>
    <row r="79" spans="2:14" x14ac:dyDescent="0.25">
      <c r="B79" s="8"/>
      <c r="C79" s="8"/>
      <c r="D79" s="34" t="s">
        <v>973</v>
      </c>
      <c r="E79" s="8" t="s">
        <v>192</v>
      </c>
      <c r="F79" s="52">
        <v>15.026</v>
      </c>
      <c r="G79" s="52">
        <v>15.026</v>
      </c>
      <c r="H79" s="155" t="s">
        <v>1004</v>
      </c>
      <c r="I79" s="156" t="s">
        <v>1006</v>
      </c>
      <c r="J79" s="55"/>
      <c r="K79" s="55">
        <v>15.026</v>
      </c>
      <c r="L79" s="8" t="s">
        <v>958</v>
      </c>
      <c r="M79" s="8"/>
      <c r="N79" s="113"/>
    </row>
    <row r="80" spans="2:14" x14ac:dyDescent="0.25">
      <c r="B80" s="8"/>
      <c r="C80" s="8"/>
      <c r="D80" s="72" t="s">
        <v>193</v>
      </c>
      <c r="E80" s="8"/>
      <c r="F80" s="8"/>
      <c r="G80" s="8"/>
      <c r="H80" s="155"/>
      <c r="I80" s="8"/>
      <c r="J80" s="123"/>
      <c r="K80" s="123"/>
      <c r="L80" s="8"/>
      <c r="M80" s="8"/>
      <c r="N80" s="113"/>
    </row>
    <row r="81" spans="2:14" x14ac:dyDescent="0.25">
      <c r="B81" s="8"/>
      <c r="C81" s="8"/>
      <c r="D81" s="16" t="s">
        <v>961</v>
      </c>
      <c r="E81" s="8" t="s">
        <v>194</v>
      </c>
      <c r="F81" s="45">
        <v>0.33100000000000002</v>
      </c>
      <c r="G81" s="135">
        <v>0.33100000000000002</v>
      </c>
      <c r="H81" s="155" t="s">
        <v>1004</v>
      </c>
      <c r="I81" s="156" t="s">
        <v>1006</v>
      </c>
      <c r="J81" s="55">
        <v>0.33100000000000002</v>
      </c>
      <c r="K81" s="55"/>
      <c r="L81" s="8" t="s">
        <v>958</v>
      </c>
      <c r="M81" s="8"/>
      <c r="N81" s="113"/>
    </row>
    <row r="82" spans="2:14" x14ac:dyDescent="0.25">
      <c r="B82" s="8"/>
      <c r="C82" s="8"/>
      <c r="D82" s="13" t="s">
        <v>152</v>
      </c>
      <c r="E82" s="8" t="s">
        <v>195</v>
      </c>
      <c r="F82" s="45">
        <v>0.311</v>
      </c>
      <c r="G82" s="135">
        <v>0.311</v>
      </c>
      <c r="H82" s="155" t="s">
        <v>1004</v>
      </c>
      <c r="I82" s="156" t="s">
        <v>1006</v>
      </c>
      <c r="J82" s="55">
        <v>0.311</v>
      </c>
      <c r="K82" s="55"/>
      <c r="L82" s="8" t="s">
        <v>958</v>
      </c>
      <c r="M82" s="8"/>
      <c r="N82" s="113"/>
    </row>
    <row r="83" spans="2:14" x14ac:dyDescent="0.25">
      <c r="B83" s="8"/>
      <c r="C83" s="8"/>
      <c r="D83" s="13" t="s">
        <v>154</v>
      </c>
      <c r="E83" s="8" t="s">
        <v>197</v>
      </c>
      <c r="F83" s="45">
        <v>0.216</v>
      </c>
      <c r="G83" s="135">
        <v>0.216</v>
      </c>
      <c r="H83" s="155" t="s">
        <v>1004</v>
      </c>
      <c r="I83" s="156" t="s">
        <v>1006</v>
      </c>
      <c r="J83" s="55">
        <v>0.216</v>
      </c>
      <c r="K83" s="55"/>
      <c r="L83" s="8" t="s">
        <v>958</v>
      </c>
      <c r="M83" s="8"/>
      <c r="N83" s="113"/>
    </row>
    <row r="84" spans="2:14" x14ac:dyDescent="0.25">
      <c r="B84" s="8"/>
      <c r="C84" s="8"/>
      <c r="D84" s="13" t="s">
        <v>196</v>
      </c>
      <c r="E84" s="8" t="s">
        <v>198</v>
      </c>
      <c r="F84" s="51">
        <v>0.23</v>
      </c>
      <c r="G84" s="51">
        <v>0.23</v>
      </c>
      <c r="H84" s="155" t="s">
        <v>1004</v>
      </c>
      <c r="I84" s="156" t="s">
        <v>1006</v>
      </c>
      <c r="J84" s="83">
        <v>0.23</v>
      </c>
      <c r="K84" s="55"/>
      <c r="L84" s="8" t="s">
        <v>958</v>
      </c>
      <c r="M84" s="8"/>
      <c r="N84" s="113"/>
    </row>
    <row r="85" spans="2:14" x14ac:dyDescent="0.25">
      <c r="B85" s="8"/>
      <c r="C85" s="8"/>
      <c r="D85" s="13" t="s">
        <v>960</v>
      </c>
      <c r="E85" s="8" t="s">
        <v>199</v>
      </c>
      <c r="F85" s="45">
        <v>0.249</v>
      </c>
      <c r="G85" s="135">
        <v>0.249</v>
      </c>
      <c r="H85" s="155" t="s">
        <v>1004</v>
      </c>
      <c r="I85" s="156" t="s">
        <v>1006</v>
      </c>
      <c r="J85" s="55">
        <v>0.249</v>
      </c>
      <c r="K85" s="55"/>
      <c r="L85" s="8" t="s">
        <v>958</v>
      </c>
      <c r="M85" s="8"/>
      <c r="N85" s="113"/>
    </row>
    <row r="86" spans="2:14" x14ac:dyDescent="0.25">
      <c r="B86" s="8"/>
      <c r="C86" s="8"/>
      <c r="D86" s="13" t="s">
        <v>201</v>
      </c>
      <c r="E86" s="8" t="s">
        <v>200</v>
      </c>
      <c r="F86" s="51">
        <v>0.11</v>
      </c>
      <c r="G86" s="51">
        <v>0.11</v>
      </c>
      <c r="H86" s="155" t="s">
        <v>1004</v>
      </c>
      <c r="I86" s="156" t="s">
        <v>1006</v>
      </c>
      <c r="J86" s="83">
        <v>0.11</v>
      </c>
      <c r="K86" s="55"/>
      <c r="L86" s="8" t="s">
        <v>958</v>
      </c>
      <c r="M86" s="8"/>
      <c r="N86" s="113"/>
    </row>
    <row r="87" spans="2:14" x14ac:dyDescent="0.25">
      <c r="B87" s="8"/>
      <c r="C87" s="8"/>
      <c r="D87" s="13" t="s">
        <v>148</v>
      </c>
      <c r="E87" s="8"/>
      <c r="F87" s="51">
        <v>0.46</v>
      </c>
      <c r="G87" s="51">
        <v>0.46</v>
      </c>
      <c r="H87" s="155" t="s">
        <v>1004</v>
      </c>
      <c r="I87" s="156" t="s">
        <v>1006</v>
      </c>
      <c r="J87" s="83">
        <v>0.46</v>
      </c>
      <c r="K87" s="55"/>
      <c r="L87" s="8" t="s">
        <v>958</v>
      </c>
      <c r="M87" s="8"/>
      <c r="N87" s="113"/>
    </row>
    <row r="88" spans="2:14" x14ac:dyDescent="0.25">
      <c r="B88" s="8"/>
      <c r="C88" s="8"/>
      <c r="D88" s="34"/>
      <c r="E88" s="45" t="s">
        <v>89</v>
      </c>
      <c r="F88" s="53">
        <f>SUM(F81:F87)</f>
        <v>1.9070000000000003</v>
      </c>
      <c r="G88" s="53">
        <f>SUM(G81:G87)</f>
        <v>1.9070000000000003</v>
      </c>
      <c r="H88" s="155"/>
      <c r="I88" s="8"/>
      <c r="J88" s="83"/>
      <c r="K88" s="123"/>
      <c r="L88" s="8"/>
      <c r="M88" s="8"/>
      <c r="N88" s="113"/>
    </row>
    <row r="89" spans="2:14" x14ac:dyDescent="0.25">
      <c r="B89" s="8"/>
      <c r="C89" s="8"/>
      <c r="D89" s="34" t="s">
        <v>986</v>
      </c>
      <c r="E89" s="8" t="s">
        <v>202</v>
      </c>
      <c r="F89" s="52">
        <v>14.664999999999999</v>
      </c>
      <c r="G89" s="52">
        <v>14.664999999999999</v>
      </c>
      <c r="H89" s="155" t="s">
        <v>1004</v>
      </c>
      <c r="I89" s="156" t="s">
        <v>1006</v>
      </c>
      <c r="J89" s="55"/>
      <c r="K89" s="55">
        <v>14.664999999999999</v>
      </c>
      <c r="L89" s="8" t="s">
        <v>958</v>
      </c>
      <c r="M89" s="8"/>
      <c r="N89" s="113"/>
    </row>
    <row r="90" spans="2:14" ht="15.75" thickBot="1" x14ac:dyDescent="0.3">
      <c r="B90" s="8"/>
      <c r="C90" s="8"/>
      <c r="D90" s="34" t="s">
        <v>971</v>
      </c>
      <c r="E90" s="8" t="s">
        <v>187</v>
      </c>
      <c r="F90" s="52">
        <v>11.786</v>
      </c>
      <c r="G90" s="52">
        <v>11.786</v>
      </c>
      <c r="H90" s="155" t="s">
        <v>1004</v>
      </c>
      <c r="I90" s="156" t="s">
        <v>1006</v>
      </c>
      <c r="J90" s="55"/>
      <c r="K90" s="55">
        <v>11.786</v>
      </c>
      <c r="L90" s="8" t="s">
        <v>958</v>
      </c>
      <c r="M90" s="8"/>
      <c r="N90" s="9"/>
    </row>
    <row r="91" spans="2:14" ht="15.75" thickBot="1" x14ac:dyDescent="0.3">
      <c r="B91" s="157" t="s">
        <v>1007</v>
      </c>
      <c r="C91" s="11"/>
      <c r="D91" s="11"/>
      <c r="E91" s="95" t="s">
        <v>705</v>
      </c>
      <c r="F91" s="104">
        <f>SUM(F8,F18,F40,F54,F67,F90,F89,F88,F79,F78,F76,F74,F68,F65,F53,F39,F17)</f>
        <v>136.98699999999997</v>
      </c>
      <c r="G91" s="104">
        <f>SUM(G8,G18,G40,G54,G67,G90,G89,G88,G79,G78,G76,G74,G68,G65,G53,G39,G17)</f>
        <v>136.98699999999997</v>
      </c>
      <c r="H91" s="157"/>
      <c r="I91" s="203" t="s">
        <v>11</v>
      </c>
      <c r="J91" s="214">
        <f>SUM(J7:J54,J65:J90)</f>
        <v>31.792000000000009</v>
      </c>
      <c r="K91" s="215">
        <f>SUM(K8:K54,K65:K90)</f>
        <v>105.19499999999999</v>
      </c>
      <c r="L91" s="61" t="s">
        <v>1035</v>
      </c>
      <c r="M91" s="219">
        <f>J91+K91</f>
        <v>136.98699999999999</v>
      </c>
      <c r="N91" s="238"/>
    </row>
    <row r="92" spans="2:14" x14ac:dyDescent="0.25">
      <c r="B92" s="128" t="s">
        <v>30</v>
      </c>
      <c r="C92" s="11"/>
      <c r="D92" s="11"/>
      <c r="E92" s="110" t="s">
        <v>1000</v>
      </c>
      <c r="F92" s="125">
        <f>SUM(F8,F18,F40,F54)</f>
        <v>48.421999999999997</v>
      </c>
      <c r="G92" s="125">
        <f>SUM(G8,G18,G40,G54)</f>
        <v>48.421999999999997</v>
      </c>
      <c r="H92" s="11"/>
      <c r="I92" s="205" t="s">
        <v>1104</v>
      </c>
      <c r="J92" s="206">
        <f>SUM(J8:J54,J65:J90)*1000*5</f>
        <v>158960.00000000003</v>
      </c>
      <c r="K92" s="206">
        <f>SUM(K8:K54,K65:K90)*1000*6</f>
        <v>631170</v>
      </c>
      <c r="L92" s="212" t="s">
        <v>1155</v>
      </c>
      <c r="M92" s="198">
        <f>M91-K56</f>
        <v>88.564999999999998</v>
      </c>
    </row>
    <row r="93" spans="2:14" x14ac:dyDescent="0.25">
      <c r="C93" s="128"/>
      <c r="D93" s="128"/>
      <c r="E93" s="140" t="s">
        <v>1002</v>
      </c>
      <c r="F93" s="143">
        <f>F91-F92</f>
        <v>88.564999999999969</v>
      </c>
      <c r="G93" s="143">
        <f>G91-G92</f>
        <v>88.564999999999969</v>
      </c>
      <c r="H93" s="128"/>
      <c r="I93" s="208"/>
      <c r="J93" s="209" t="s">
        <v>1105</v>
      </c>
      <c r="K93" s="210">
        <f>J92+K92</f>
        <v>790130</v>
      </c>
      <c r="L93" s="211"/>
    </row>
    <row r="94" spans="2:14" x14ac:dyDescent="0.25">
      <c r="B94" s="119"/>
      <c r="C94" s="119"/>
      <c r="D94" s="119"/>
      <c r="E94" s="119"/>
      <c r="H94" s="119"/>
      <c r="I94" s="194"/>
      <c r="J94" s="186" t="s">
        <v>1106</v>
      </c>
      <c r="K94" s="184">
        <f>SUM(K93/10000)</f>
        <v>79.013000000000005</v>
      </c>
      <c r="L94" s="185" t="s">
        <v>1107</v>
      </c>
    </row>
    <row r="95" spans="2:14" x14ac:dyDescent="0.25">
      <c r="E95" s="110" t="s">
        <v>1033</v>
      </c>
      <c r="F95" s="134">
        <f>F8+F18+F40+F54</f>
        <v>48.421999999999997</v>
      </c>
      <c r="G95" s="134">
        <f>G8+G18+G40+G54</f>
        <v>48.421999999999997</v>
      </c>
      <c r="H95" t="s">
        <v>1035</v>
      </c>
      <c r="I95" s="194"/>
      <c r="J95" s="186" t="s">
        <v>1125</v>
      </c>
      <c r="K95" s="184">
        <f>K94-(K56*6*0.1)</f>
        <v>49.959800000000001</v>
      </c>
      <c r="L95" s="185" t="s">
        <v>1107</v>
      </c>
    </row>
    <row r="96" spans="2:14" x14ac:dyDescent="0.25">
      <c r="E96" s="110" t="s">
        <v>1034</v>
      </c>
      <c r="F96" s="134">
        <f>F91-F95</f>
        <v>88.564999999999969</v>
      </c>
      <c r="G96" s="134">
        <f>G91-G95</f>
        <v>88.564999999999969</v>
      </c>
      <c r="H96" t="s">
        <v>1035</v>
      </c>
      <c r="I96" s="193"/>
      <c r="J96" s="188" t="s">
        <v>1108</v>
      </c>
      <c r="K96" s="184">
        <v>4</v>
      </c>
      <c r="L96" s="185" t="s">
        <v>1109</v>
      </c>
    </row>
    <row r="97" spans="6:12" x14ac:dyDescent="0.25">
      <c r="I97" s="193"/>
      <c r="J97" s="188" t="s">
        <v>1110</v>
      </c>
      <c r="K97" s="184">
        <v>1.8</v>
      </c>
      <c r="L97" s="185" t="s">
        <v>1109</v>
      </c>
    </row>
    <row r="98" spans="6:12" x14ac:dyDescent="0.25">
      <c r="I98" s="192"/>
      <c r="J98" s="188" t="s">
        <v>1111</v>
      </c>
      <c r="K98" s="184">
        <v>300</v>
      </c>
      <c r="L98" s="185" t="s">
        <v>1109</v>
      </c>
    </row>
    <row r="99" spans="6:12" x14ac:dyDescent="0.25">
      <c r="F99" s="134"/>
      <c r="G99" s="134"/>
      <c r="I99" s="192"/>
      <c r="J99" s="189" t="s">
        <v>1115</v>
      </c>
      <c r="K99" s="191">
        <f>K$94*K96</f>
        <v>316.05200000000002</v>
      </c>
      <c r="L99" s="187" t="s">
        <v>1112</v>
      </c>
    </row>
    <row r="100" spans="6:12" x14ac:dyDescent="0.25">
      <c r="I100" s="70"/>
      <c r="J100" s="189" t="s">
        <v>1116</v>
      </c>
      <c r="K100" s="191">
        <f>K95*K97</f>
        <v>89.927640000000011</v>
      </c>
      <c r="L100" s="187" t="s">
        <v>1112</v>
      </c>
    </row>
    <row r="101" spans="6:12" x14ac:dyDescent="0.25">
      <c r="I101" s="70"/>
      <c r="J101" s="190" t="s">
        <v>1113</v>
      </c>
      <c r="K101" s="191">
        <f>K94*K98/1000</f>
        <v>23.703900000000001</v>
      </c>
      <c r="L101" s="187" t="s">
        <v>1114</v>
      </c>
    </row>
  </sheetData>
  <mergeCells count="14">
    <mergeCell ref="B59:M59"/>
    <mergeCell ref="B60:H60"/>
    <mergeCell ref="I60:M60"/>
    <mergeCell ref="B61:M61"/>
    <mergeCell ref="B62:D62"/>
    <mergeCell ref="E62:I62"/>
    <mergeCell ref="J62:M62"/>
    <mergeCell ref="B2:M2"/>
    <mergeCell ref="B4:M4"/>
    <mergeCell ref="I3:M3"/>
    <mergeCell ref="B3:H3"/>
    <mergeCell ref="B5:D5"/>
    <mergeCell ref="E5:I5"/>
    <mergeCell ref="J5:M5"/>
  </mergeCells>
  <printOptions horizontalCentered="1"/>
  <pageMargins left="0.25" right="0.25" top="0.75" bottom="0.75" header="0.3" footer="0.3"/>
  <pageSetup paperSize="9"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P166"/>
  <sheetViews>
    <sheetView topLeftCell="A134" zoomScaleNormal="100" workbookViewId="0">
      <selection activeCell="J156" sqref="J156:K156"/>
    </sheetView>
  </sheetViews>
  <sheetFormatPr defaultRowHeight="15" x14ac:dyDescent="0.25"/>
  <cols>
    <col min="2" max="2" width="12.7109375" customWidth="1"/>
    <col min="3" max="3" width="10.7109375" customWidth="1"/>
    <col min="4" max="4" width="34.85546875" customWidth="1"/>
    <col min="5" max="5" width="17.42578125" style="23" customWidth="1"/>
    <col min="6" max="6" width="10" style="31" customWidth="1"/>
    <col min="7" max="7" width="10.140625" style="31" customWidth="1"/>
    <col min="8" max="8" width="10.7109375" style="23" customWidth="1"/>
    <col min="9" max="9" width="24.7109375" style="25" customWidth="1"/>
    <col min="10" max="11" width="9.5703125" customWidth="1"/>
    <col min="12" max="12" width="15.7109375" customWidth="1"/>
    <col min="13" max="13" width="41" customWidth="1"/>
    <col min="14" max="14" width="16.140625" customWidth="1"/>
  </cols>
  <sheetData>
    <row r="1" spans="2:14" ht="15.75" thickBot="1" x14ac:dyDescent="0.3"/>
    <row r="2" spans="2:14" ht="19.5" thickBot="1" x14ac:dyDescent="0.3">
      <c r="B2" s="349" t="s">
        <v>18</v>
      </c>
      <c r="C2" s="350"/>
      <c r="D2" s="350"/>
      <c r="E2" s="350"/>
      <c r="F2" s="350"/>
      <c r="G2" s="350"/>
      <c r="H2" s="350"/>
      <c r="I2" s="350"/>
      <c r="J2" s="350"/>
      <c r="K2" s="350"/>
      <c r="L2" s="350"/>
      <c r="M2" s="351"/>
      <c r="N2" s="230"/>
    </row>
    <row r="3" spans="2:14" x14ac:dyDescent="0.25">
      <c r="B3" s="357" t="s">
        <v>19</v>
      </c>
      <c r="C3" s="355"/>
      <c r="D3" s="355"/>
      <c r="E3" s="355"/>
      <c r="F3" s="355"/>
      <c r="G3" s="355"/>
      <c r="H3" s="355"/>
      <c r="I3" s="355" t="s">
        <v>1003</v>
      </c>
      <c r="J3" s="355"/>
      <c r="K3" s="355"/>
      <c r="L3" s="355"/>
      <c r="M3" s="356"/>
      <c r="N3" s="231"/>
    </row>
    <row r="4" spans="2:14" x14ac:dyDescent="0.25">
      <c r="B4" s="352"/>
      <c r="C4" s="353"/>
      <c r="D4" s="353"/>
      <c r="E4" s="353"/>
      <c r="F4" s="353"/>
      <c r="G4" s="353"/>
      <c r="H4" s="353"/>
      <c r="I4" s="353"/>
      <c r="J4" s="353"/>
      <c r="K4" s="353"/>
      <c r="L4" s="353"/>
      <c r="M4" s="354"/>
      <c r="N4" s="232"/>
    </row>
    <row r="5" spans="2:14" ht="15.75" thickBot="1" x14ac:dyDescent="0.3">
      <c r="B5" s="363" t="s">
        <v>102</v>
      </c>
      <c r="C5" s="364"/>
      <c r="D5" s="364"/>
      <c r="E5" s="359" t="s">
        <v>1051</v>
      </c>
      <c r="F5" s="359"/>
      <c r="G5" s="359"/>
      <c r="H5" s="359"/>
      <c r="I5" s="359"/>
      <c r="J5" s="359" t="s">
        <v>1052</v>
      </c>
      <c r="K5" s="359"/>
      <c r="L5" s="359"/>
      <c r="M5" s="360"/>
      <c r="N5" s="233"/>
    </row>
    <row r="6" spans="2:14" ht="30" customHeight="1" thickBot="1" x14ac:dyDescent="0.3">
      <c r="B6" s="18" t="s">
        <v>12</v>
      </c>
      <c r="C6" s="19" t="s">
        <v>13</v>
      </c>
      <c r="D6" s="19" t="s">
        <v>63</v>
      </c>
      <c r="E6" s="19" t="s">
        <v>64</v>
      </c>
      <c r="F6" s="137" t="s">
        <v>998</v>
      </c>
      <c r="G6" s="137" t="s">
        <v>999</v>
      </c>
      <c r="H6" s="19" t="s">
        <v>14</v>
      </c>
      <c r="I6" s="19" t="s">
        <v>15</v>
      </c>
      <c r="J6" s="19" t="s">
        <v>1102</v>
      </c>
      <c r="K6" s="19" t="s">
        <v>1103</v>
      </c>
      <c r="L6" s="37" t="s">
        <v>16</v>
      </c>
      <c r="M6" s="38" t="s">
        <v>17</v>
      </c>
      <c r="N6" s="195" t="s">
        <v>1185</v>
      </c>
    </row>
    <row r="7" spans="2:14" x14ac:dyDescent="0.25">
      <c r="B7" s="21"/>
      <c r="C7" s="22"/>
      <c r="D7" s="48" t="s">
        <v>145</v>
      </c>
      <c r="E7" s="17"/>
      <c r="F7" s="44"/>
      <c r="G7" s="44"/>
      <c r="H7" s="17"/>
      <c r="I7" s="27"/>
      <c r="J7" s="17"/>
      <c r="K7" s="17"/>
      <c r="L7" s="9"/>
      <c r="M7" s="9"/>
      <c r="N7" s="234"/>
    </row>
    <row r="8" spans="2:14" x14ac:dyDescent="0.25">
      <c r="B8" s="8"/>
      <c r="C8" s="8"/>
      <c r="D8" s="74" t="s">
        <v>959</v>
      </c>
      <c r="E8" s="7"/>
      <c r="F8" s="30"/>
      <c r="G8" s="30"/>
      <c r="H8" s="7"/>
      <c r="I8" s="27"/>
      <c r="J8" s="8"/>
      <c r="K8" s="8"/>
      <c r="L8" s="8"/>
      <c r="M8" s="36"/>
      <c r="N8" s="113"/>
    </row>
    <row r="9" spans="2:14" x14ac:dyDescent="0.25">
      <c r="B9" s="8"/>
      <c r="C9" s="8"/>
      <c r="D9" s="16" t="s">
        <v>1171</v>
      </c>
      <c r="E9" s="94" t="s">
        <v>88</v>
      </c>
      <c r="F9" s="30">
        <v>1.04</v>
      </c>
      <c r="G9" s="30">
        <v>1.04</v>
      </c>
      <c r="H9" s="155">
        <v>2</v>
      </c>
      <c r="I9" s="156" t="s">
        <v>1005</v>
      </c>
      <c r="J9" s="30">
        <v>1.04</v>
      </c>
      <c r="K9" s="182"/>
      <c r="L9" s="8" t="s">
        <v>957</v>
      </c>
      <c r="M9" s="36"/>
      <c r="N9" s="113"/>
    </row>
    <row r="10" spans="2:14" x14ac:dyDescent="0.25">
      <c r="B10" s="8"/>
      <c r="C10" s="8"/>
      <c r="D10" s="13" t="s">
        <v>947</v>
      </c>
      <c r="E10" s="94" t="s">
        <v>100</v>
      </c>
      <c r="F10" s="30">
        <v>0.89100000000000001</v>
      </c>
      <c r="G10" s="30">
        <v>0.89100000000000001</v>
      </c>
      <c r="H10" s="155">
        <v>2</v>
      </c>
      <c r="I10" s="156" t="s">
        <v>1005</v>
      </c>
      <c r="J10" s="30">
        <v>0.89100000000000001</v>
      </c>
      <c r="K10" s="182"/>
      <c r="L10" s="8" t="s">
        <v>957</v>
      </c>
      <c r="M10" s="36"/>
      <c r="N10" s="113"/>
    </row>
    <row r="11" spans="2:14" x14ac:dyDescent="0.25">
      <c r="B11" s="8"/>
      <c r="C11" s="8"/>
      <c r="D11" s="13" t="s">
        <v>34</v>
      </c>
      <c r="E11" s="94" t="s">
        <v>101</v>
      </c>
      <c r="F11" s="30">
        <v>0.75600000000000001</v>
      </c>
      <c r="G11" s="30">
        <v>0.75600000000000001</v>
      </c>
      <c r="H11" s="155">
        <v>2</v>
      </c>
      <c r="I11" s="156" t="s">
        <v>1005</v>
      </c>
      <c r="J11" s="30">
        <v>0.75600000000000001</v>
      </c>
      <c r="K11" s="182"/>
      <c r="L11" s="8" t="s">
        <v>957</v>
      </c>
      <c r="M11" s="36"/>
      <c r="N11" s="113"/>
    </row>
    <row r="12" spans="2:14" x14ac:dyDescent="0.25">
      <c r="B12" s="8"/>
      <c r="C12" s="8"/>
      <c r="D12" s="13" t="s">
        <v>1172</v>
      </c>
      <c r="E12" s="94" t="s">
        <v>962</v>
      </c>
      <c r="F12" s="30">
        <v>1.04</v>
      </c>
      <c r="G12" s="30">
        <v>1.04</v>
      </c>
      <c r="H12" s="155">
        <v>2</v>
      </c>
      <c r="I12" s="156" t="s">
        <v>1005</v>
      </c>
      <c r="J12" s="30">
        <v>1.04</v>
      </c>
      <c r="K12" s="182"/>
      <c r="L12" s="8" t="s">
        <v>957</v>
      </c>
      <c r="M12" s="36"/>
      <c r="N12" s="113"/>
    </row>
    <row r="13" spans="2:14" x14ac:dyDescent="0.25">
      <c r="B13" s="8"/>
      <c r="C13" s="8"/>
      <c r="D13" s="13" t="s">
        <v>35</v>
      </c>
      <c r="E13" s="94" t="s">
        <v>963</v>
      </c>
      <c r="F13" s="33">
        <v>0.70799999999999996</v>
      </c>
      <c r="G13" s="33">
        <v>0.70799999999999996</v>
      </c>
      <c r="H13" s="155">
        <v>2</v>
      </c>
      <c r="I13" s="156" t="s">
        <v>1005</v>
      </c>
      <c r="J13" s="33">
        <v>0.70799999999999996</v>
      </c>
      <c r="K13" s="182"/>
      <c r="L13" s="8" t="s">
        <v>957</v>
      </c>
      <c r="M13" s="36"/>
      <c r="N13" s="113"/>
    </row>
    <row r="14" spans="2:14" x14ac:dyDescent="0.25">
      <c r="B14" s="8"/>
      <c r="C14" s="8"/>
      <c r="D14" s="13" t="s">
        <v>148</v>
      </c>
      <c r="E14" s="35"/>
      <c r="F14" s="33">
        <v>1.097</v>
      </c>
      <c r="G14" s="33">
        <v>1.097</v>
      </c>
      <c r="H14" s="155">
        <v>2</v>
      </c>
      <c r="I14" s="156" t="s">
        <v>1005</v>
      </c>
      <c r="J14" s="33">
        <v>1.097</v>
      </c>
      <c r="K14" s="182"/>
      <c r="L14" s="8" t="s">
        <v>957</v>
      </c>
      <c r="M14" s="36"/>
      <c r="N14" s="113"/>
    </row>
    <row r="15" spans="2:14" x14ac:dyDescent="0.25">
      <c r="B15" s="8"/>
      <c r="C15" s="8"/>
      <c r="D15" s="13"/>
      <c r="E15" s="41" t="s">
        <v>89</v>
      </c>
      <c r="F15" s="43">
        <f>SUM(F9:F14)</f>
        <v>5.532</v>
      </c>
      <c r="G15" s="43">
        <f>SUM(G9:G14)</f>
        <v>5.532</v>
      </c>
      <c r="H15" s="155"/>
      <c r="I15" s="27"/>
      <c r="J15" s="46"/>
      <c r="K15" s="123"/>
      <c r="L15" s="8"/>
      <c r="M15" s="36"/>
      <c r="N15" s="113"/>
    </row>
    <row r="16" spans="2:14" x14ac:dyDescent="0.25">
      <c r="B16" s="8"/>
      <c r="C16" s="8"/>
      <c r="D16" s="15" t="s">
        <v>204</v>
      </c>
      <c r="E16" s="7" t="s">
        <v>85</v>
      </c>
      <c r="F16" s="52">
        <f>6.184*2</f>
        <v>12.368</v>
      </c>
      <c r="G16" s="52">
        <f>6.184*2</f>
        <v>12.368</v>
      </c>
      <c r="H16" s="155">
        <v>2</v>
      </c>
      <c r="I16" s="156" t="s">
        <v>1005</v>
      </c>
      <c r="J16" s="55"/>
      <c r="K16" s="55">
        <f>6.184*2</f>
        <v>12.368</v>
      </c>
      <c r="L16" s="8" t="s">
        <v>957</v>
      </c>
      <c r="M16" s="149" t="s">
        <v>1014</v>
      </c>
      <c r="N16" s="236"/>
    </row>
    <row r="17" spans="2:16" x14ac:dyDescent="0.25">
      <c r="B17" s="8"/>
      <c r="C17" s="8"/>
      <c r="D17" s="72" t="s">
        <v>60</v>
      </c>
      <c r="E17" s="7"/>
      <c r="F17" s="30"/>
      <c r="G17" s="30"/>
      <c r="H17" s="155"/>
      <c r="I17" s="27"/>
      <c r="J17" s="123"/>
      <c r="K17" s="123"/>
      <c r="L17" s="8"/>
      <c r="M17" s="36"/>
      <c r="N17" s="113"/>
    </row>
    <row r="18" spans="2:16" x14ac:dyDescent="0.25">
      <c r="B18" s="8"/>
      <c r="C18" s="8"/>
      <c r="D18" s="13" t="s">
        <v>1151</v>
      </c>
      <c r="E18" s="94" t="s">
        <v>103</v>
      </c>
      <c r="F18" s="30">
        <v>1.125</v>
      </c>
      <c r="G18" s="30">
        <v>1.125</v>
      </c>
      <c r="H18" s="155">
        <v>2</v>
      </c>
      <c r="I18" s="156" t="s">
        <v>1005</v>
      </c>
      <c r="J18" s="46">
        <v>1.125</v>
      </c>
      <c r="K18" s="55"/>
      <c r="L18" s="8" t="s">
        <v>957</v>
      </c>
      <c r="M18" s="36"/>
      <c r="N18" s="113"/>
    </row>
    <row r="19" spans="2:16" x14ac:dyDescent="0.25">
      <c r="B19" s="8"/>
      <c r="C19" s="8"/>
      <c r="D19" s="13" t="s">
        <v>33</v>
      </c>
      <c r="E19" s="94" t="s">
        <v>107</v>
      </c>
      <c r="F19" s="30">
        <v>0.73399999999999999</v>
      </c>
      <c r="G19" s="30">
        <v>0.73399999999999999</v>
      </c>
      <c r="H19" s="155">
        <v>2</v>
      </c>
      <c r="I19" s="156" t="s">
        <v>1005</v>
      </c>
      <c r="J19" s="46">
        <v>0.73399999999999999</v>
      </c>
      <c r="K19" s="55"/>
      <c r="L19" s="8" t="s">
        <v>957</v>
      </c>
      <c r="M19" s="36"/>
      <c r="N19" s="113"/>
    </row>
    <row r="20" spans="2:16" x14ac:dyDescent="0.25">
      <c r="B20" s="8"/>
      <c r="C20" s="8"/>
      <c r="D20" s="13" t="s">
        <v>34</v>
      </c>
      <c r="E20" s="94" t="s">
        <v>106</v>
      </c>
      <c r="F20" s="30">
        <v>0.73399999999999999</v>
      </c>
      <c r="G20" s="30">
        <v>0.73399999999999999</v>
      </c>
      <c r="H20" s="155">
        <v>2</v>
      </c>
      <c r="I20" s="156" t="s">
        <v>1005</v>
      </c>
      <c r="J20" s="46">
        <v>0.73399999999999999</v>
      </c>
      <c r="K20" s="55"/>
      <c r="L20" s="8" t="s">
        <v>957</v>
      </c>
      <c r="M20" s="36"/>
      <c r="N20" s="113"/>
    </row>
    <row r="21" spans="2:16" x14ac:dyDescent="0.25">
      <c r="B21" s="8"/>
      <c r="C21" s="8"/>
      <c r="D21" s="13" t="s">
        <v>1150</v>
      </c>
      <c r="E21" s="94" t="s">
        <v>104</v>
      </c>
      <c r="F21" s="30">
        <v>1.125</v>
      </c>
      <c r="G21" s="30">
        <v>1.125</v>
      </c>
      <c r="H21" s="155">
        <v>2</v>
      </c>
      <c r="I21" s="156" t="s">
        <v>1005</v>
      </c>
      <c r="J21" s="46">
        <v>1.125</v>
      </c>
      <c r="K21" s="55"/>
      <c r="L21" s="8" t="s">
        <v>957</v>
      </c>
      <c r="M21" s="36"/>
      <c r="N21" s="113"/>
    </row>
    <row r="22" spans="2:16" x14ac:dyDescent="0.25">
      <c r="B22" s="8"/>
      <c r="C22" s="8"/>
      <c r="D22" s="13" t="s">
        <v>35</v>
      </c>
      <c r="E22" s="94" t="s">
        <v>105</v>
      </c>
      <c r="F22" s="31">
        <v>0.77400000000000002</v>
      </c>
      <c r="G22" s="30">
        <v>0.77400000000000002</v>
      </c>
      <c r="H22" s="155">
        <v>2</v>
      </c>
      <c r="I22" s="156" t="s">
        <v>1005</v>
      </c>
      <c r="J22" s="196">
        <v>0.77400000000000002</v>
      </c>
      <c r="K22" s="55"/>
      <c r="L22" s="8" t="s">
        <v>957</v>
      </c>
      <c r="M22" s="36"/>
      <c r="N22" s="113"/>
    </row>
    <row r="23" spans="2:16" x14ac:dyDescent="0.25">
      <c r="B23" s="8"/>
      <c r="C23" s="8"/>
      <c r="D23" s="13" t="s">
        <v>36</v>
      </c>
      <c r="E23" s="94" t="s">
        <v>108</v>
      </c>
      <c r="F23" s="30">
        <v>0.67200000000000004</v>
      </c>
      <c r="G23" s="30">
        <v>0.67200000000000004</v>
      </c>
      <c r="H23" s="155">
        <v>2</v>
      </c>
      <c r="I23" s="156" t="s">
        <v>1005</v>
      </c>
      <c r="J23" s="46">
        <v>0.67200000000000004</v>
      </c>
      <c r="K23" s="55"/>
      <c r="L23" s="8" t="s">
        <v>957</v>
      </c>
      <c r="M23" s="36"/>
      <c r="N23" s="113"/>
    </row>
    <row r="24" spans="2:16" x14ac:dyDescent="0.25">
      <c r="B24" s="8"/>
      <c r="C24" s="8"/>
      <c r="D24" s="13" t="s">
        <v>148</v>
      </c>
      <c r="E24" s="41"/>
      <c r="F24" s="30">
        <v>1.4179999999999999</v>
      </c>
      <c r="G24" s="30">
        <v>1.4179999999999999</v>
      </c>
      <c r="H24" s="155">
        <v>2</v>
      </c>
      <c r="I24" s="156" t="s">
        <v>1005</v>
      </c>
      <c r="J24" s="46">
        <v>1.4179999999999999</v>
      </c>
      <c r="K24" s="55"/>
      <c r="L24" s="8" t="s">
        <v>957</v>
      </c>
      <c r="M24" s="36"/>
      <c r="N24" s="113"/>
    </row>
    <row r="25" spans="2:16" x14ac:dyDescent="0.25">
      <c r="B25" s="8"/>
      <c r="C25" s="8"/>
      <c r="D25" s="13"/>
      <c r="E25" s="41" t="s">
        <v>89</v>
      </c>
      <c r="F25" s="43">
        <f>SUM(F18:F24)</f>
        <v>6.5819999999999999</v>
      </c>
      <c r="G25" s="43">
        <f>SUM(G18:G24)</f>
        <v>6.5819999999999999</v>
      </c>
      <c r="H25" s="155"/>
      <c r="I25" s="27"/>
      <c r="J25" s="46"/>
      <c r="K25" s="123"/>
      <c r="L25" s="8"/>
      <c r="M25" s="36"/>
      <c r="N25" s="113"/>
    </row>
    <row r="26" spans="2:16" x14ac:dyDescent="0.25">
      <c r="B26" s="8"/>
      <c r="C26" s="8"/>
      <c r="D26" s="15" t="s">
        <v>205</v>
      </c>
      <c r="E26" s="7" t="s">
        <v>86</v>
      </c>
      <c r="F26" s="53">
        <f>3.68*2</f>
        <v>7.36</v>
      </c>
      <c r="G26" s="53">
        <f>3.68*2</f>
        <v>7.36</v>
      </c>
      <c r="H26" s="155">
        <v>2</v>
      </c>
      <c r="I26" s="156" t="s">
        <v>1005</v>
      </c>
      <c r="J26" s="55"/>
      <c r="K26" s="83">
        <f>3.68*2</f>
        <v>7.36</v>
      </c>
      <c r="L26" s="8" t="s">
        <v>957</v>
      </c>
      <c r="M26" s="149" t="s">
        <v>1015</v>
      </c>
      <c r="N26" s="113"/>
    </row>
    <row r="27" spans="2:16" x14ac:dyDescent="0.25">
      <c r="B27" s="8"/>
      <c r="C27" s="8"/>
      <c r="D27" s="15"/>
      <c r="E27" s="42"/>
      <c r="F27" s="46"/>
      <c r="G27" s="46"/>
      <c r="H27" s="155"/>
      <c r="I27" s="27"/>
      <c r="J27" s="8"/>
      <c r="K27" s="8"/>
      <c r="L27" s="8"/>
      <c r="M27" s="8"/>
      <c r="N27" s="113"/>
    </row>
    <row r="28" spans="2:16" x14ac:dyDescent="0.25">
      <c r="B28" s="8"/>
      <c r="C28" s="8"/>
      <c r="D28" s="49" t="s">
        <v>146</v>
      </c>
      <c r="E28" s="7"/>
      <c r="F28" s="30"/>
      <c r="G28" s="30"/>
      <c r="H28" s="155"/>
      <c r="I28" s="27"/>
      <c r="J28" s="8"/>
      <c r="K28" s="8"/>
      <c r="L28" s="8"/>
      <c r="M28" s="8"/>
      <c r="N28" s="113"/>
    </row>
    <row r="29" spans="2:16" x14ac:dyDescent="0.25">
      <c r="B29" s="8"/>
      <c r="C29" s="8"/>
      <c r="D29" s="15" t="s">
        <v>69</v>
      </c>
      <c r="E29" s="94" t="s">
        <v>78</v>
      </c>
      <c r="F29" s="30">
        <v>3.45</v>
      </c>
      <c r="G29" s="30">
        <v>3.45</v>
      </c>
      <c r="H29" s="155" t="s">
        <v>1004</v>
      </c>
      <c r="I29" s="156" t="s">
        <v>1006</v>
      </c>
      <c r="J29" s="163"/>
      <c r="K29" s="30">
        <v>3.45</v>
      </c>
      <c r="L29" s="8" t="s">
        <v>958</v>
      </c>
      <c r="M29" s="8"/>
      <c r="N29" s="113"/>
      <c r="P29" t="s">
        <v>1075</v>
      </c>
    </row>
    <row r="30" spans="2:16" x14ac:dyDescent="0.25">
      <c r="B30" s="8"/>
      <c r="C30" s="8"/>
      <c r="D30" s="13" t="s">
        <v>70</v>
      </c>
      <c r="E30" s="94" t="s">
        <v>964</v>
      </c>
      <c r="F30" s="30">
        <v>0.56999999999999995</v>
      </c>
      <c r="G30" s="30">
        <v>0.56999999999999995</v>
      </c>
      <c r="H30" s="155" t="s">
        <v>1004</v>
      </c>
      <c r="I30" s="156" t="s">
        <v>1006</v>
      </c>
      <c r="J30" s="163"/>
      <c r="K30" s="30">
        <v>0.56999999999999995</v>
      </c>
      <c r="L30" s="8" t="s">
        <v>958</v>
      </c>
      <c r="M30" s="8"/>
      <c r="N30" s="113"/>
    </row>
    <row r="31" spans="2:16" x14ac:dyDescent="0.25">
      <c r="B31" s="8"/>
      <c r="C31" s="8"/>
      <c r="D31" s="15" t="s">
        <v>71</v>
      </c>
      <c r="E31" s="94" t="s">
        <v>79</v>
      </c>
      <c r="F31" s="30">
        <v>4.859</v>
      </c>
      <c r="G31" s="30">
        <v>4.859</v>
      </c>
      <c r="H31" s="155" t="s">
        <v>1004</v>
      </c>
      <c r="I31" s="156" t="s">
        <v>1006</v>
      </c>
      <c r="J31" s="163"/>
      <c r="K31" s="30">
        <v>4.859</v>
      </c>
      <c r="L31" s="8" t="s">
        <v>958</v>
      </c>
      <c r="M31" s="8"/>
      <c r="N31" s="113"/>
    </row>
    <row r="32" spans="2:16" x14ac:dyDescent="0.25">
      <c r="B32" s="8"/>
      <c r="C32" s="8"/>
      <c r="D32" s="13" t="s">
        <v>72</v>
      </c>
      <c r="E32" s="94" t="s">
        <v>80</v>
      </c>
      <c r="F32" s="30">
        <v>0.53700000000000003</v>
      </c>
      <c r="G32" s="30">
        <v>0.53700000000000003</v>
      </c>
      <c r="H32" s="155" t="s">
        <v>1004</v>
      </c>
      <c r="I32" s="156" t="s">
        <v>1006</v>
      </c>
      <c r="J32" s="163"/>
      <c r="K32" s="30">
        <v>0.53700000000000003</v>
      </c>
      <c r="L32" s="8" t="s">
        <v>958</v>
      </c>
      <c r="M32" s="8"/>
      <c r="N32" s="113"/>
    </row>
    <row r="33" spans="2:14" x14ac:dyDescent="0.25">
      <c r="B33" s="8"/>
      <c r="C33" s="8"/>
      <c r="D33" s="15" t="s">
        <v>73</v>
      </c>
      <c r="E33" s="94" t="s">
        <v>81</v>
      </c>
      <c r="F33" s="30">
        <v>3.2080000000000002</v>
      </c>
      <c r="G33" s="30">
        <v>3.2080000000000002</v>
      </c>
      <c r="H33" s="155" t="s">
        <v>1004</v>
      </c>
      <c r="I33" s="156" t="s">
        <v>1006</v>
      </c>
      <c r="J33" s="163"/>
      <c r="K33" s="30">
        <v>3.2080000000000002</v>
      </c>
      <c r="L33" s="8" t="s">
        <v>958</v>
      </c>
      <c r="M33" s="27"/>
      <c r="N33" s="113"/>
    </row>
    <row r="34" spans="2:14" x14ac:dyDescent="0.25">
      <c r="B34" s="8"/>
      <c r="C34" s="8"/>
      <c r="D34" s="241" t="s">
        <v>1187</v>
      </c>
      <c r="E34" s="242" t="s">
        <v>1188</v>
      </c>
      <c r="F34" s="243">
        <v>0.1</v>
      </c>
      <c r="G34" s="243">
        <v>0.1</v>
      </c>
      <c r="H34" s="229" t="s">
        <v>1004</v>
      </c>
      <c r="I34" s="156" t="s">
        <v>1006</v>
      </c>
      <c r="J34" s="229"/>
      <c r="K34" s="30">
        <v>0.1</v>
      </c>
      <c r="L34" s="8" t="s">
        <v>958</v>
      </c>
      <c r="M34" s="27"/>
      <c r="N34" s="113"/>
    </row>
    <row r="35" spans="2:14" x14ac:dyDescent="0.25">
      <c r="B35" s="8"/>
      <c r="C35" s="8"/>
      <c r="D35" s="244" t="s">
        <v>74</v>
      </c>
      <c r="E35" s="242" t="s">
        <v>82</v>
      </c>
      <c r="F35" s="243">
        <v>0.377</v>
      </c>
      <c r="G35" s="243">
        <v>0.377</v>
      </c>
      <c r="H35" s="155" t="s">
        <v>1004</v>
      </c>
      <c r="I35" s="156" t="s">
        <v>1006</v>
      </c>
      <c r="J35" s="163"/>
      <c r="K35" s="30">
        <v>0.377</v>
      </c>
      <c r="L35" s="8" t="s">
        <v>958</v>
      </c>
      <c r="M35" s="8"/>
      <c r="N35" s="113"/>
    </row>
    <row r="36" spans="2:14" x14ac:dyDescent="0.25">
      <c r="B36" s="8"/>
      <c r="C36" s="8"/>
      <c r="D36" s="244" t="s">
        <v>1151</v>
      </c>
      <c r="E36" s="242" t="s">
        <v>1189</v>
      </c>
      <c r="F36" s="243">
        <v>0.2</v>
      </c>
      <c r="G36" s="243">
        <v>0.2</v>
      </c>
      <c r="H36" s="229" t="s">
        <v>1004</v>
      </c>
      <c r="I36" s="156" t="s">
        <v>1006</v>
      </c>
      <c r="J36" s="229"/>
      <c r="K36" s="30">
        <v>0.2</v>
      </c>
      <c r="L36" s="8" t="s">
        <v>958</v>
      </c>
      <c r="M36" s="8"/>
      <c r="N36" s="113"/>
    </row>
    <row r="37" spans="2:14" x14ac:dyDescent="0.25">
      <c r="B37" s="8"/>
      <c r="C37" s="8"/>
      <c r="D37" s="244" t="s">
        <v>33</v>
      </c>
      <c r="E37" s="242" t="s">
        <v>1190</v>
      </c>
      <c r="F37" s="243">
        <v>0.16300000000000001</v>
      </c>
      <c r="G37" s="243">
        <v>0.16300000000000001</v>
      </c>
      <c r="H37" s="229" t="s">
        <v>1004</v>
      </c>
      <c r="I37" s="156" t="s">
        <v>1006</v>
      </c>
      <c r="J37" s="229"/>
      <c r="K37" s="30">
        <v>0.16300000000000001</v>
      </c>
      <c r="L37" s="8" t="s">
        <v>958</v>
      </c>
      <c r="M37" s="8"/>
      <c r="N37" s="113"/>
    </row>
    <row r="38" spans="2:14" x14ac:dyDescent="0.25">
      <c r="B38" s="8"/>
      <c r="C38" s="8"/>
      <c r="D38" s="15" t="s">
        <v>75</v>
      </c>
      <c r="E38" s="94" t="s">
        <v>83</v>
      </c>
      <c r="F38" s="30">
        <v>8.5389999999999997</v>
      </c>
      <c r="G38" s="30">
        <v>8.5389999999999997</v>
      </c>
      <c r="H38" s="155" t="s">
        <v>1004</v>
      </c>
      <c r="I38" s="156" t="s">
        <v>1006</v>
      </c>
      <c r="J38" s="163"/>
      <c r="K38" s="30">
        <v>8.5389999999999997</v>
      </c>
      <c r="L38" s="8" t="s">
        <v>958</v>
      </c>
      <c r="M38" s="27"/>
      <c r="N38" s="113"/>
    </row>
    <row r="39" spans="2:14" x14ac:dyDescent="0.25">
      <c r="B39" s="9"/>
      <c r="C39" s="9"/>
      <c r="D39" s="15"/>
      <c r="E39" s="42" t="s">
        <v>89</v>
      </c>
      <c r="F39" s="43">
        <f>SUM(F29:F38)</f>
        <v>22.003</v>
      </c>
      <c r="G39" s="43">
        <f>SUM(G29:G38)</f>
        <v>22.003</v>
      </c>
      <c r="H39" s="17"/>
      <c r="I39" s="24"/>
      <c r="J39" s="47"/>
      <c r="K39" s="47"/>
      <c r="L39" s="9"/>
      <c r="M39" s="24"/>
      <c r="N39" s="113"/>
    </row>
    <row r="40" spans="2:14" x14ac:dyDescent="0.25">
      <c r="B40" s="9"/>
      <c r="C40" s="9"/>
      <c r="D40" s="49" t="s">
        <v>147</v>
      </c>
      <c r="E40" s="17"/>
      <c r="F40" s="32"/>
      <c r="G40" s="32"/>
      <c r="H40" s="17"/>
      <c r="I40" s="24"/>
      <c r="J40" s="9"/>
      <c r="K40" s="9"/>
      <c r="L40" s="9"/>
      <c r="M40" s="9"/>
      <c r="N40" s="113"/>
    </row>
    <row r="41" spans="2:14" x14ac:dyDescent="0.25">
      <c r="B41" s="8"/>
      <c r="C41" s="8"/>
      <c r="D41" s="15" t="s">
        <v>149</v>
      </c>
      <c r="E41" s="94" t="s">
        <v>84</v>
      </c>
      <c r="F41" s="30">
        <v>2.6059999999999999</v>
      </c>
      <c r="G41" s="30">
        <v>2.6059999999999999</v>
      </c>
      <c r="H41" s="155" t="s">
        <v>1004</v>
      </c>
      <c r="I41" s="156" t="s">
        <v>1006</v>
      </c>
      <c r="J41" s="163"/>
      <c r="K41" s="30">
        <v>2.6059999999999999</v>
      </c>
      <c r="L41" s="8" t="s">
        <v>958</v>
      </c>
      <c r="M41" s="27"/>
      <c r="N41" s="113"/>
    </row>
    <row r="42" spans="2:14" x14ac:dyDescent="0.25">
      <c r="B42" s="8"/>
      <c r="C42" s="8"/>
      <c r="D42" s="13" t="s">
        <v>1152</v>
      </c>
      <c r="E42" s="126" t="s">
        <v>988</v>
      </c>
      <c r="F42" s="46">
        <v>0.47799999999999998</v>
      </c>
      <c r="G42" s="46">
        <v>0.47799999999999998</v>
      </c>
      <c r="H42" s="155" t="s">
        <v>1004</v>
      </c>
      <c r="I42" s="156" t="s">
        <v>1006</v>
      </c>
      <c r="J42" s="163"/>
      <c r="K42" s="46">
        <v>0.47799999999999998</v>
      </c>
      <c r="L42" s="8" t="s">
        <v>958</v>
      </c>
      <c r="M42" s="58"/>
      <c r="N42" s="113"/>
    </row>
    <row r="43" spans="2:14" x14ac:dyDescent="0.25">
      <c r="B43" s="8"/>
      <c r="C43" s="8"/>
      <c r="D43" s="28"/>
      <c r="E43" s="42" t="s">
        <v>89</v>
      </c>
      <c r="F43" s="43">
        <f>SUM(F41:F42)</f>
        <v>3.0839999999999996</v>
      </c>
      <c r="G43" s="43">
        <f>SUM(G41:G42)</f>
        <v>3.0839999999999996</v>
      </c>
      <c r="H43" s="155"/>
      <c r="I43" s="27"/>
      <c r="J43" s="8"/>
      <c r="K43" s="8"/>
      <c r="L43" s="8"/>
      <c r="M43" s="8"/>
      <c r="N43" s="113"/>
    </row>
    <row r="44" spans="2:14" x14ac:dyDescent="0.25">
      <c r="B44" s="8"/>
      <c r="C44" s="8"/>
      <c r="D44" s="361" t="s">
        <v>76</v>
      </c>
      <c r="E44" s="7"/>
      <c r="F44" s="30"/>
      <c r="G44" s="30"/>
      <c r="H44" s="155"/>
      <c r="I44" s="27"/>
      <c r="J44" s="8"/>
      <c r="K44" s="8"/>
      <c r="L44" s="8"/>
      <c r="M44" s="8"/>
      <c r="N44" s="113"/>
    </row>
    <row r="45" spans="2:14" x14ac:dyDescent="0.25">
      <c r="B45" s="8"/>
      <c r="C45" s="8"/>
      <c r="D45" s="362"/>
      <c r="E45" s="7"/>
      <c r="F45" s="30"/>
      <c r="G45" s="30"/>
      <c r="H45" s="155"/>
      <c r="I45" s="27"/>
      <c r="J45" s="8"/>
      <c r="K45" s="8"/>
      <c r="L45" s="8"/>
      <c r="M45" s="8"/>
      <c r="N45" s="113"/>
    </row>
    <row r="46" spans="2:14" x14ac:dyDescent="0.25">
      <c r="B46" s="8"/>
      <c r="C46" s="8"/>
      <c r="D46" s="8" t="s">
        <v>72</v>
      </c>
      <c r="E46" s="7" t="s">
        <v>1031</v>
      </c>
      <c r="F46" s="176">
        <v>0.36499999999999999</v>
      </c>
      <c r="G46" s="176">
        <v>0.36499999999999999</v>
      </c>
      <c r="H46" s="155">
        <v>2</v>
      </c>
      <c r="I46" s="156" t="s">
        <v>1005</v>
      </c>
      <c r="J46" s="163"/>
      <c r="K46" s="46"/>
      <c r="L46" s="8" t="s">
        <v>957</v>
      </c>
      <c r="M46" s="29" t="s">
        <v>77</v>
      </c>
      <c r="N46" s="9"/>
    </row>
    <row r="48" spans="2:14" x14ac:dyDescent="0.25">
      <c r="B48" s="129" t="s">
        <v>30</v>
      </c>
      <c r="C48" s="129"/>
      <c r="D48" s="129"/>
      <c r="E48" s="129"/>
      <c r="F48" s="129"/>
      <c r="G48" s="129"/>
      <c r="H48" s="129"/>
      <c r="I48" s="129"/>
      <c r="J48" s="140"/>
      <c r="K48" s="198"/>
      <c r="L48" s="129"/>
      <c r="M48" s="129"/>
    </row>
    <row r="50" spans="2:14" ht="15.75" thickBot="1" x14ac:dyDescent="0.3"/>
    <row r="51" spans="2:14" ht="19.5" thickBot="1" x14ac:dyDescent="0.3">
      <c r="B51" s="349" t="s">
        <v>18</v>
      </c>
      <c r="C51" s="350"/>
      <c r="D51" s="350"/>
      <c r="E51" s="350"/>
      <c r="F51" s="350"/>
      <c r="G51" s="350"/>
      <c r="H51" s="350"/>
      <c r="I51" s="350"/>
      <c r="J51" s="350"/>
      <c r="K51" s="350"/>
      <c r="L51" s="350"/>
      <c r="M51" s="351"/>
      <c r="N51" s="230"/>
    </row>
    <row r="52" spans="2:14" x14ac:dyDescent="0.25">
      <c r="B52" s="357" t="s">
        <v>19</v>
      </c>
      <c r="C52" s="355"/>
      <c r="D52" s="355"/>
      <c r="E52" s="355"/>
      <c r="F52" s="355"/>
      <c r="G52" s="355"/>
      <c r="H52" s="355"/>
      <c r="I52" s="355" t="s">
        <v>1003</v>
      </c>
      <c r="J52" s="355"/>
      <c r="K52" s="355"/>
      <c r="L52" s="355"/>
      <c r="M52" s="356"/>
      <c r="N52" s="231"/>
    </row>
    <row r="53" spans="2:14" x14ac:dyDescent="0.25">
      <c r="B53" s="352"/>
      <c r="C53" s="353"/>
      <c r="D53" s="353"/>
      <c r="E53" s="353"/>
      <c r="F53" s="353"/>
      <c r="G53" s="353"/>
      <c r="H53" s="353"/>
      <c r="I53" s="353"/>
      <c r="J53" s="353"/>
      <c r="K53" s="353"/>
      <c r="L53" s="353"/>
      <c r="M53" s="354"/>
      <c r="N53" s="232"/>
    </row>
    <row r="54" spans="2:14" ht="15.75" thickBot="1" x14ac:dyDescent="0.3">
      <c r="B54" s="358" t="s">
        <v>21</v>
      </c>
      <c r="C54" s="359"/>
      <c r="D54" s="359"/>
      <c r="E54" s="359" t="s">
        <v>1051</v>
      </c>
      <c r="F54" s="359"/>
      <c r="G54" s="359"/>
      <c r="H54" s="359"/>
      <c r="I54" s="359"/>
      <c r="J54" s="359" t="s">
        <v>1052</v>
      </c>
      <c r="K54" s="359"/>
      <c r="L54" s="359"/>
      <c r="M54" s="360"/>
      <c r="N54" s="233"/>
    </row>
    <row r="55" spans="2:14" ht="30" customHeight="1" thickBot="1" x14ac:dyDescent="0.3">
      <c r="B55" s="18" t="s">
        <v>12</v>
      </c>
      <c r="C55" s="19" t="s">
        <v>13</v>
      </c>
      <c r="D55" s="19" t="s">
        <v>63</v>
      </c>
      <c r="E55" s="19" t="s">
        <v>64</v>
      </c>
      <c r="F55" s="137" t="s">
        <v>998</v>
      </c>
      <c r="G55" s="137" t="s">
        <v>999</v>
      </c>
      <c r="H55" s="19" t="s">
        <v>14</v>
      </c>
      <c r="I55" s="26" t="s">
        <v>15</v>
      </c>
      <c r="J55" s="19" t="s">
        <v>1102</v>
      </c>
      <c r="K55" s="19" t="s">
        <v>1103</v>
      </c>
      <c r="L55" s="37" t="s">
        <v>16</v>
      </c>
      <c r="M55" s="38" t="s">
        <v>17</v>
      </c>
      <c r="N55" s="195" t="s">
        <v>1185</v>
      </c>
    </row>
    <row r="56" spans="2:14" x14ac:dyDescent="0.25">
      <c r="B56" s="8"/>
      <c r="C56" s="8"/>
      <c r="D56" s="72" t="s">
        <v>181</v>
      </c>
      <c r="E56" s="7"/>
      <c r="F56" s="30"/>
      <c r="G56" s="30"/>
      <c r="H56" s="7"/>
      <c r="I56" s="27"/>
      <c r="J56" s="8"/>
      <c r="K56" s="8"/>
      <c r="L56" s="8"/>
      <c r="M56" s="36"/>
      <c r="N56" s="234"/>
    </row>
    <row r="57" spans="2:14" x14ac:dyDescent="0.25">
      <c r="B57" s="8"/>
      <c r="C57" s="8"/>
      <c r="D57" s="13" t="s">
        <v>1151</v>
      </c>
      <c r="E57" s="94" t="s">
        <v>109</v>
      </c>
      <c r="F57" s="30">
        <v>1.1180000000000001</v>
      </c>
      <c r="G57" s="30">
        <v>1.1180000000000001</v>
      </c>
      <c r="H57" s="155" t="s">
        <v>1004</v>
      </c>
      <c r="I57" s="156" t="s">
        <v>1006</v>
      </c>
      <c r="J57" s="30">
        <v>1.1180000000000001</v>
      </c>
      <c r="K57" s="182"/>
      <c r="L57" s="8" t="s">
        <v>958</v>
      </c>
      <c r="M57" s="36"/>
      <c r="N57" s="113"/>
    </row>
    <row r="58" spans="2:14" x14ac:dyDescent="0.25">
      <c r="B58" s="8"/>
      <c r="C58" s="8"/>
      <c r="D58" s="13" t="s">
        <v>225</v>
      </c>
      <c r="E58" s="94" t="s">
        <v>226</v>
      </c>
      <c r="F58" s="30">
        <v>7.0999999999999994E-2</v>
      </c>
      <c r="G58" s="30">
        <v>7.0999999999999994E-2</v>
      </c>
      <c r="H58" s="155" t="s">
        <v>1004</v>
      </c>
      <c r="I58" s="156" t="s">
        <v>1006</v>
      </c>
      <c r="J58" s="30">
        <v>7.0999999999999994E-2</v>
      </c>
      <c r="K58" s="182"/>
      <c r="L58" s="8" t="s">
        <v>958</v>
      </c>
      <c r="M58" s="36"/>
      <c r="N58" s="113"/>
    </row>
    <row r="59" spans="2:14" x14ac:dyDescent="0.25">
      <c r="B59" s="8"/>
      <c r="C59" s="8"/>
      <c r="D59" s="13" t="s">
        <v>34</v>
      </c>
      <c r="E59" s="120" t="s">
        <v>116</v>
      </c>
      <c r="F59" s="30">
        <v>0.48699999999999999</v>
      </c>
      <c r="G59" s="30">
        <v>0.48699999999999999</v>
      </c>
      <c r="H59" s="155" t="s">
        <v>1004</v>
      </c>
      <c r="I59" s="156" t="s">
        <v>1006</v>
      </c>
      <c r="J59" s="30">
        <v>0.48699999999999999</v>
      </c>
      <c r="K59" s="182"/>
      <c r="L59" s="8" t="s">
        <v>958</v>
      </c>
      <c r="M59" s="36"/>
      <c r="N59" s="113"/>
    </row>
    <row r="60" spans="2:14" x14ac:dyDescent="0.25">
      <c r="B60" s="8"/>
      <c r="C60" s="8"/>
      <c r="D60" s="13" t="s">
        <v>37</v>
      </c>
      <c r="E60" s="94" t="s">
        <v>117</v>
      </c>
      <c r="F60" s="30">
        <v>0.49299999999999999</v>
      </c>
      <c r="G60" s="30">
        <v>0.49299999999999999</v>
      </c>
      <c r="H60" s="155" t="s">
        <v>1004</v>
      </c>
      <c r="I60" s="156" t="s">
        <v>1006</v>
      </c>
      <c r="J60" s="30">
        <v>0.49299999999999999</v>
      </c>
      <c r="K60" s="182"/>
      <c r="L60" s="8" t="s">
        <v>958</v>
      </c>
      <c r="M60" s="36"/>
      <c r="N60" s="113"/>
    </row>
    <row r="61" spans="2:14" x14ac:dyDescent="0.25">
      <c r="B61" s="8"/>
      <c r="C61" s="8"/>
      <c r="D61" s="13" t="s">
        <v>135</v>
      </c>
      <c r="E61" s="94" t="s">
        <v>136</v>
      </c>
      <c r="F61" s="30">
        <v>0.41499999999999998</v>
      </c>
      <c r="G61" s="30">
        <v>0.41499999999999998</v>
      </c>
      <c r="H61" s="155" t="s">
        <v>1004</v>
      </c>
      <c r="I61" s="156" t="s">
        <v>1006</v>
      </c>
      <c r="J61" s="30">
        <v>0.41499999999999998</v>
      </c>
      <c r="K61" s="182"/>
      <c r="L61" s="8" t="s">
        <v>958</v>
      </c>
      <c r="M61" s="36"/>
      <c r="N61" s="113"/>
    </row>
    <row r="62" spans="2:14" x14ac:dyDescent="0.25">
      <c r="B62" s="8"/>
      <c r="C62" s="8"/>
      <c r="D62" s="13" t="s">
        <v>39</v>
      </c>
      <c r="E62" s="94" t="s">
        <v>118</v>
      </c>
      <c r="F62" s="30">
        <v>0.61399999999999999</v>
      </c>
      <c r="G62" s="30">
        <v>0.61399999999999999</v>
      </c>
      <c r="H62" s="155" t="s">
        <v>1004</v>
      </c>
      <c r="I62" s="156" t="s">
        <v>1006</v>
      </c>
      <c r="J62" s="30">
        <v>0.61399999999999999</v>
      </c>
      <c r="K62" s="182"/>
      <c r="L62" s="8" t="s">
        <v>958</v>
      </c>
      <c r="M62" s="36"/>
      <c r="N62" s="113"/>
    </row>
    <row r="63" spans="2:14" x14ac:dyDescent="0.25">
      <c r="B63" s="8"/>
      <c r="C63" s="8"/>
      <c r="D63" s="13" t="s">
        <v>40</v>
      </c>
      <c r="E63" s="94" t="s">
        <v>119</v>
      </c>
      <c r="F63" s="30">
        <v>0.64300000000000002</v>
      </c>
      <c r="G63" s="30">
        <v>0.64300000000000002</v>
      </c>
      <c r="H63" s="155" t="s">
        <v>1004</v>
      </c>
      <c r="I63" s="156" t="s">
        <v>1006</v>
      </c>
      <c r="J63" s="30">
        <v>0.64300000000000002</v>
      </c>
      <c r="K63" s="182"/>
      <c r="L63" s="8" t="s">
        <v>958</v>
      </c>
      <c r="M63" s="36"/>
      <c r="N63" s="113"/>
    </row>
    <row r="64" spans="2:14" x14ac:dyDescent="0.25">
      <c r="B64" s="8"/>
      <c r="C64" s="8"/>
      <c r="D64" s="13" t="s">
        <v>41</v>
      </c>
      <c r="E64" s="94" t="s">
        <v>119</v>
      </c>
      <c r="F64" s="30">
        <v>0.64300000000000002</v>
      </c>
      <c r="G64" s="30">
        <v>0.64300000000000002</v>
      </c>
      <c r="H64" s="155" t="s">
        <v>1004</v>
      </c>
      <c r="I64" s="156" t="s">
        <v>1006</v>
      </c>
      <c r="J64" s="30">
        <v>0.64300000000000002</v>
      </c>
      <c r="K64" s="182"/>
      <c r="L64" s="8" t="s">
        <v>958</v>
      </c>
      <c r="M64" s="36"/>
      <c r="N64" s="113"/>
    </row>
    <row r="65" spans="2:14" x14ac:dyDescent="0.25">
      <c r="B65" s="8"/>
      <c r="C65" s="8"/>
      <c r="D65" s="13" t="s">
        <v>42</v>
      </c>
      <c r="E65" s="94" t="s">
        <v>120</v>
      </c>
      <c r="F65" s="30">
        <v>0.69399999999999995</v>
      </c>
      <c r="G65" s="30">
        <v>0.69399999999999995</v>
      </c>
      <c r="H65" s="155" t="s">
        <v>1004</v>
      </c>
      <c r="I65" s="156" t="s">
        <v>1006</v>
      </c>
      <c r="J65" s="30">
        <v>0.69399999999999995</v>
      </c>
      <c r="K65" s="182"/>
      <c r="L65" s="8" t="s">
        <v>958</v>
      </c>
      <c r="M65" s="36"/>
      <c r="N65" s="113"/>
    </row>
    <row r="66" spans="2:14" x14ac:dyDescent="0.25">
      <c r="B66" s="8"/>
      <c r="C66" s="8"/>
      <c r="D66" s="13" t="s">
        <v>43</v>
      </c>
      <c r="E66" s="120" t="s">
        <v>121</v>
      </c>
      <c r="F66" s="30">
        <v>0.69299999999999995</v>
      </c>
      <c r="G66" s="30">
        <v>0.69299999999999995</v>
      </c>
      <c r="H66" s="155" t="s">
        <v>1004</v>
      </c>
      <c r="I66" s="156" t="s">
        <v>1006</v>
      </c>
      <c r="J66" s="30">
        <v>0.69299999999999995</v>
      </c>
      <c r="K66" s="182"/>
      <c r="L66" s="8" t="s">
        <v>958</v>
      </c>
      <c r="M66" s="36"/>
      <c r="N66" s="113"/>
    </row>
    <row r="67" spans="2:14" x14ac:dyDescent="0.25">
      <c r="B67" s="8"/>
      <c r="C67" s="8"/>
      <c r="D67" s="13" t="s">
        <v>530</v>
      </c>
      <c r="E67" s="94" t="s">
        <v>141</v>
      </c>
      <c r="F67" s="30">
        <v>0.28000000000000003</v>
      </c>
      <c r="G67" s="30">
        <v>0.28000000000000003</v>
      </c>
      <c r="H67" s="155" t="s">
        <v>1004</v>
      </c>
      <c r="I67" s="156" t="s">
        <v>1006</v>
      </c>
      <c r="J67" s="30">
        <v>0.28000000000000003</v>
      </c>
      <c r="K67" s="182"/>
      <c r="L67" s="8" t="s">
        <v>958</v>
      </c>
      <c r="M67" s="8"/>
      <c r="N67" s="113"/>
    </row>
    <row r="68" spans="2:14" x14ac:dyDescent="0.25">
      <c r="B68" s="8"/>
      <c r="C68" s="8"/>
      <c r="D68" s="13" t="s">
        <v>137</v>
      </c>
      <c r="E68" s="94" t="s">
        <v>142</v>
      </c>
      <c r="F68" s="30">
        <v>0.23400000000000001</v>
      </c>
      <c r="G68" s="30">
        <v>0.23400000000000001</v>
      </c>
      <c r="H68" s="155" t="s">
        <v>1004</v>
      </c>
      <c r="I68" s="156" t="s">
        <v>1006</v>
      </c>
      <c r="J68" s="30">
        <v>0.23400000000000001</v>
      </c>
      <c r="K68" s="182"/>
      <c r="L68" s="8" t="s">
        <v>958</v>
      </c>
      <c r="M68" s="8"/>
      <c r="N68" s="113"/>
    </row>
    <row r="69" spans="2:14" x14ac:dyDescent="0.25">
      <c r="B69" s="8"/>
      <c r="C69" s="8"/>
      <c r="D69" s="13" t="s">
        <v>138</v>
      </c>
      <c r="E69" s="94" t="s">
        <v>143</v>
      </c>
      <c r="F69" s="30">
        <v>0.17599999999999999</v>
      </c>
      <c r="G69" s="30">
        <v>0.17599999999999999</v>
      </c>
      <c r="H69" s="155" t="s">
        <v>1004</v>
      </c>
      <c r="I69" s="156" t="s">
        <v>1006</v>
      </c>
      <c r="J69" s="30">
        <v>0.17599999999999999</v>
      </c>
      <c r="K69" s="182"/>
      <c r="L69" s="8" t="s">
        <v>958</v>
      </c>
      <c r="M69" s="8"/>
      <c r="N69" s="113"/>
    </row>
    <row r="70" spans="2:14" x14ac:dyDescent="0.25">
      <c r="B70" s="8"/>
      <c r="C70" s="8"/>
      <c r="D70" s="13" t="s">
        <v>139</v>
      </c>
      <c r="E70" s="94" t="s">
        <v>144</v>
      </c>
      <c r="F70" s="30">
        <v>0.122</v>
      </c>
      <c r="G70" s="30">
        <v>0.122</v>
      </c>
      <c r="H70" s="155" t="s">
        <v>1004</v>
      </c>
      <c r="I70" s="156" t="s">
        <v>1006</v>
      </c>
      <c r="J70" s="30">
        <v>0.122</v>
      </c>
      <c r="K70" s="182"/>
      <c r="L70" s="8" t="s">
        <v>958</v>
      </c>
      <c r="M70" s="8"/>
      <c r="N70" s="113"/>
    </row>
    <row r="71" spans="2:14" x14ac:dyDescent="0.25">
      <c r="B71" s="8"/>
      <c r="C71" s="8"/>
      <c r="D71" s="13" t="s">
        <v>140</v>
      </c>
      <c r="E71" s="94" t="s">
        <v>144</v>
      </c>
      <c r="F71" s="30">
        <v>0.122</v>
      </c>
      <c r="G71" s="30">
        <v>0.122</v>
      </c>
      <c r="H71" s="155" t="s">
        <v>1004</v>
      </c>
      <c r="I71" s="156" t="s">
        <v>1006</v>
      </c>
      <c r="J71" s="30">
        <v>0.122</v>
      </c>
      <c r="K71" s="182"/>
      <c r="L71" s="8" t="s">
        <v>958</v>
      </c>
      <c r="M71" s="8"/>
      <c r="N71" s="113"/>
    </row>
    <row r="72" spans="2:14" x14ac:dyDescent="0.25">
      <c r="B72" s="8"/>
      <c r="C72" s="8"/>
      <c r="D72" s="13" t="s">
        <v>245</v>
      </c>
      <c r="E72" s="122" t="s">
        <v>246</v>
      </c>
      <c r="F72" s="46">
        <v>0.39500000000000002</v>
      </c>
      <c r="G72" s="46">
        <v>0.39500000000000002</v>
      </c>
      <c r="H72" s="155" t="s">
        <v>1004</v>
      </c>
      <c r="I72" s="156" t="s">
        <v>1006</v>
      </c>
      <c r="J72" s="46">
        <v>0.39500000000000002</v>
      </c>
      <c r="K72" s="182"/>
      <c r="L72" s="8" t="s">
        <v>958</v>
      </c>
      <c r="M72" s="8" t="s">
        <v>247</v>
      </c>
      <c r="N72" s="113"/>
    </row>
    <row r="73" spans="2:14" x14ac:dyDescent="0.25">
      <c r="B73" s="8"/>
      <c r="C73" s="8"/>
      <c r="D73" s="13" t="s">
        <v>44</v>
      </c>
      <c r="E73" s="94" t="s">
        <v>111</v>
      </c>
      <c r="F73" s="30">
        <v>1.153</v>
      </c>
      <c r="G73" s="30">
        <v>1.153</v>
      </c>
      <c r="H73" s="155" t="s">
        <v>1004</v>
      </c>
      <c r="I73" s="156" t="s">
        <v>1006</v>
      </c>
      <c r="J73" s="30">
        <v>1.153</v>
      </c>
      <c r="K73" s="182"/>
      <c r="L73" s="8" t="s">
        <v>958</v>
      </c>
      <c r="M73" s="36"/>
      <c r="N73" s="113"/>
    </row>
    <row r="74" spans="2:14" x14ac:dyDescent="0.25">
      <c r="B74" s="8"/>
      <c r="C74" s="8"/>
      <c r="D74" s="13" t="s">
        <v>45</v>
      </c>
      <c r="E74" s="94" t="s">
        <v>114</v>
      </c>
      <c r="F74" s="30">
        <v>0.86299999999999999</v>
      </c>
      <c r="G74" s="30">
        <v>0.86299999999999999</v>
      </c>
      <c r="H74" s="155" t="s">
        <v>1004</v>
      </c>
      <c r="I74" s="156" t="s">
        <v>1006</v>
      </c>
      <c r="J74" s="30">
        <v>0.86299999999999999</v>
      </c>
      <c r="K74" s="182"/>
      <c r="L74" s="8" t="s">
        <v>958</v>
      </c>
      <c r="M74" s="36"/>
      <c r="N74" s="113"/>
    </row>
    <row r="75" spans="2:14" x14ac:dyDescent="0.25">
      <c r="B75" s="8"/>
      <c r="C75" s="8"/>
      <c r="D75" s="13" t="s">
        <v>46</v>
      </c>
      <c r="E75" s="94" t="s">
        <v>114</v>
      </c>
      <c r="F75" s="30">
        <v>0.86299999999999999</v>
      </c>
      <c r="G75" s="30">
        <v>0.86299999999999999</v>
      </c>
      <c r="H75" s="155" t="s">
        <v>1004</v>
      </c>
      <c r="I75" s="156" t="s">
        <v>1006</v>
      </c>
      <c r="J75" s="30">
        <v>0.86299999999999999</v>
      </c>
      <c r="K75" s="182"/>
      <c r="L75" s="8" t="s">
        <v>958</v>
      </c>
      <c r="M75" s="36"/>
      <c r="N75" s="113"/>
    </row>
    <row r="76" spans="2:14" x14ac:dyDescent="0.25">
      <c r="B76" s="8"/>
      <c r="C76" s="8"/>
      <c r="D76" s="13" t="s">
        <v>47</v>
      </c>
      <c r="E76" s="94" t="s">
        <v>115</v>
      </c>
      <c r="F76" s="30">
        <v>0.872</v>
      </c>
      <c r="G76" s="30">
        <v>0.872</v>
      </c>
      <c r="H76" s="155" t="s">
        <v>1004</v>
      </c>
      <c r="I76" s="156" t="s">
        <v>1006</v>
      </c>
      <c r="J76" s="30">
        <v>0.872</v>
      </c>
      <c r="K76" s="182"/>
      <c r="L76" s="8" t="s">
        <v>958</v>
      </c>
      <c r="M76" s="36"/>
      <c r="N76" s="113"/>
    </row>
    <row r="77" spans="2:14" x14ac:dyDescent="0.25">
      <c r="B77" s="8"/>
      <c r="C77" s="8"/>
      <c r="D77" s="14" t="s">
        <v>48</v>
      </c>
      <c r="E77" s="94" t="s">
        <v>115</v>
      </c>
      <c r="F77" s="30">
        <v>0.872</v>
      </c>
      <c r="G77" s="30">
        <v>0.872</v>
      </c>
      <c r="H77" s="155" t="s">
        <v>1004</v>
      </c>
      <c r="I77" s="156" t="s">
        <v>1006</v>
      </c>
      <c r="J77" s="30">
        <v>0.872</v>
      </c>
      <c r="K77" s="182"/>
      <c r="L77" s="8" t="s">
        <v>958</v>
      </c>
      <c r="M77" s="36"/>
      <c r="N77" s="113"/>
    </row>
    <row r="78" spans="2:14" x14ac:dyDescent="0.25">
      <c r="B78" s="8"/>
      <c r="C78" s="8"/>
      <c r="D78" s="14" t="s">
        <v>49</v>
      </c>
      <c r="E78" s="94" t="s">
        <v>134</v>
      </c>
      <c r="F78" s="30">
        <v>0.18</v>
      </c>
      <c r="G78" s="30">
        <v>0.18</v>
      </c>
      <c r="H78" s="155" t="s">
        <v>1004</v>
      </c>
      <c r="I78" s="156" t="s">
        <v>1006</v>
      </c>
      <c r="J78" s="30">
        <v>0.18</v>
      </c>
      <c r="K78" s="182"/>
      <c r="L78" s="8" t="s">
        <v>958</v>
      </c>
      <c r="M78" s="36"/>
      <c r="N78" s="113"/>
    </row>
    <row r="79" spans="2:14" x14ac:dyDescent="0.25">
      <c r="B79" s="8"/>
      <c r="C79" s="8"/>
      <c r="D79" s="14" t="s">
        <v>132</v>
      </c>
      <c r="E79" s="94" t="s">
        <v>133</v>
      </c>
      <c r="F79" s="30">
        <v>0.17899999999999999</v>
      </c>
      <c r="G79" s="30">
        <v>0.17899999999999999</v>
      </c>
      <c r="H79" s="155" t="s">
        <v>1004</v>
      </c>
      <c r="I79" s="156" t="s">
        <v>1006</v>
      </c>
      <c r="J79" s="30">
        <v>0.17899999999999999</v>
      </c>
      <c r="K79" s="182"/>
      <c r="L79" s="8" t="s">
        <v>958</v>
      </c>
      <c r="M79" s="36"/>
      <c r="N79" s="113"/>
    </row>
    <row r="80" spans="2:14" x14ac:dyDescent="0.25">
      <c r="B80" s="8"/>
      <c r="C80" s="8"/>
      <c r="D80" s="14" t="s">
        <v>50</v>
      </c>
      <c r="E80" s="94" t="s">
        <v>122</v>
      </c>
      <c r="F80" s="30">
        <v>0.875</v>
      </c>
      <c r="G80" s="30">
        <v>0.875</v>
      </c>
      <c r="H80" s="155" t="s">
        <v>1004</v>
      </c>
      <c r="I80" s="156" t="s">
        <v>1006</v>
      </c>
      <c r="J80" s="30">
        <v>0.875</v>
      </c>
      <c r="K80" s="182"/>
      <c r="L80" s="8" t="s">
        <v>958</v>
      </c>
      <c r="M80" s="36"/>
      <c r="N80" s="113"/>
    </row>
    <row r="81" spans="2:14" x14ac:dyDescent="0.25">
      <c r="B81" s="8"/>
      <c r="C81" s="8"/>
      <c r="D81" s="14" t="s">
        <v>51</v>
      </c>
      <c r="E81" s="94" t="s">
        <v>122</v>
      </c>
      <c r="F81" s="30">
        <v>0.875</v>
      </c>
      <c r="G81" s="30">
        <v>0.875</v>
      </c>
      <c r="H81" s="155" t="s">
        <v>1004</v>
      </c>
      <c r="I81" s="156" t="s">
        <v>1006</v>
      </c>
      <c r="J81" s="30">
        <v>0.875</v>
      </c>
      <c r="K81" s="182"/>
      <c r="L81" s="8" t="s">
        <v>958</v>
      </c>
      <c r="M81" s="36"/>
      <c r="N81" s="113"/>
    </row>
    <row r="82" spans="2:14" x14ac:dyDescent="0.25">
      <c r="B82" s="8"/>
      <c r="C82" s="8"/>
      <c r="D82" s="14" t="s">
        <v>52</v>
      </c>
      <c r="E82" s="94" t="s">
        <v>123</v>
      </c>
      <c r="F82" s="30">
        <v>0.92500000000000004</v>
      </c>
      <c r="G82" s="30">
        <v>0.92500000000000004</v>
      </c>
      <c r="H82" s="155" t="s">
        <v>1004</v>
      </c>
      <c r="I82" s="156" t="s">
        <v>1006</v>
      </c>
      <c r="J82" s="30">
        <v>0.92500000000000004</v>
      </c>
      <c r="K82" s="182"/>
      <c r="L82" s="8" t="s">
        <v>958</v>
      </c>
      <c r="M82" s="36"/>
      <c r="N82" s="113"/>
    </row>
    <row r="83" spans="2:14" x14ac:dyDescent="0.25">
      <c r="B83" s="8"/>
      <c r="C83" s="8"/>
      <c r="D83" s="14" t="s">
        <v>53</v>
      </c>
      <c r="E83" s="94" t="s">
        <v>123</v>
      </c>
      <c r="F83" s="30">
        <v>0.92500000000000004</v>
      </c>
      <c r="G83" s="30">
        <v>0.92500000000000004</v>
      </c>
      <c r="H83" s="155" t="s">
        <v>1004</v>
      </c>
      <c r="I83" s="156" t="s">
        <v>1006</v>
      </c>
      <c r="J83" s="30">
        <v>0.92500000000000004</v>
      </c>
      <c r="K83" s="182"/>
      <c r="L83" s="8" t="s">
        <v>958</v>
      </c>
      <c r="M83" s="36"/>
      <c r="N83" s="113"/>
    </row>
    <row r="84" spans="2:14" x14ac:dyDescent="0.25">
      <c r="B84" s="8"/>
      <c r="C84" s="8"/>
      <c r="D84" s="14" t="s">
        <v>54</v>
      </c>
      <c r="E84" s="94" t="s">
        <v>124</v>
      </c>
      <c r="F84" s="30">
        <v>0.92700000000000005</v>
      </c>
      <c r="G84" s="30">
        <v>0.92700000000000005</v>
      </c>
      <c r="H84" s="155" t="s">
        <v>1004</v>
      </c>
      <c r="I84" s="156" t="s">
        <v>1006</v>
      </c>
      <c r="J84" s="30">
        <v>0.92700000000000005</v>
      </c>
      <c r="K84" s="182"/>
      <c r="L84" s="8" t="s">
        <v>958</v>
      </c>
      <c r="M84" s="36"/>
      <c r="N84" s="113"/>
    </row>
    <row r="85" spans="2:14" x14ac:dyDescent="0.25">
      <c r="B85" s="8"/>
      <c r="C85" s="8"/>
      <c r="D85" s="14" t="s">
        <v>223</v>
      </c>
      <c r="E85" s="94" t="s">
        <v>224</v>
      </c>
      <c r="F85" s="30">
        <v>0.36699999999999999</v>
      </c>
      <c r="G85" s="30">
        <v>0.36699999999999999</v>
      </c>
      <c r="H85" s="155" t="s">
        <v>1004</v>
      </c>
      <c r="I85" s="156" t="s">
        <v>1006</v>
      </c>
      <c r="J85" s="30">
        <v>0.36699999999999999</v>
      </c>
      <c r="K85" s="182"/>
      <c r="L85" s="8" t="s">
        <v>958</v>
      </c>
      <c r="M85" s="36"/>
      <c r="N85" s="113"/>
    </row>
    <row r="86" spans="2:14" x14ac:dyDescent="0.25">
      <c r="B86" s="8"/>
      <c r="C86" s="8"/>
      <c r="D86" s="14" t="s">
        <v>55</v>
      </c>
      <c r="E86" s="94" t="s">
        <v>124</v>
      </c>
      <c r="F86" s="30">
        <v>0.92700000000000005</v>
      </c>
      <c r="G86" s="30">
        <v>0.92700000000000005</v>
      </c>
      <c r="H86" s="155" t="s">
        <v>1004</v>
      </c>
      <c r="I86" s="156" t="s">
        <v>1006</v>
      </c>
      <c r="J86" s="30">
        <v>0.92700000000000005</v>
      </c>
      <c r="K86" s="182"/>
      <c r="L86" s="8" t="s">
        <v>958</v>
      </c>
      <c r="M86" s="36"/>
      <c r="N86" s="113"/>
    </row>
    <row r="87" spans="2:14" x14ac:dyDescent="0.25">
      <c r="B87" s="8"/>
      <c r="C87" s="8"/>
      <c r="D87" s="14" t="s">
        <v>233</v>
      </c>
      <c r="E87" s="94" t="s">
        <v>234</v>
      </c>
      <c r="F87" s="30">
        <v>0.28100000000000003</v>
      </c>
      <c r="G87" s="30">
        <v>0.28100000000000003</v>
      </c>
      <c r="H87" s="155" t="s">
        <v>1004</v>
      </c>
      <c r="I87" s="156" t="s">
        <v>1006</v>
      </c>
      <c r="J87" s="30">
        <v>0.28100000000000003</v>
      </c>
      <c r="K87" s="182"/>
      <c r="L87" s="8" t="s">
        <v>958</v>
      </c>
      <c r="M87" s="36"/>
      <c r="N87" s="113"/>
    </row>
    <row r="88" spans="2:14" x14ac:dyDescent="0.25">
      <c r="B88" s="8"/>
      <c r="C88" s="8"/>
      <c r="D88" s="14" t="s">
        <v>231</v>
      </c>
      <c r="E88" s="94" t="s">
        <v>232</v>
      </c>
      <c r="F88" s="30">
        <v>0.27400000000000002</v>
      </c>
      <c r="G88" s="30">
        <v>0.27400000000000002</v>
      </c>
      <c r="H88" s="155" t="s">
        <v>1004</v>
      </c>
      <c r="I88" s="156" t="s">
        <v>1006</v>
      </c>
      <c r="J88" s="30">
        <v>0.27400000000000002</v>
      </c>
      <c r="K88" s="182"/>
      <c r="L88" s="8" t="s">
        <v>958</v>
      </c>
      <c r="M88" s="36"/>
      <c r="N88" s="113"/>
    </row>
    <row r="89" spans="2:14" x14ac:dyDescent="0.25">
      <c r="B89" s="8"/>
      <c r="C89" s="8"/>
      <c r="D89" s="68" t="s">
        <v>239</v>
      </c>
      <c r="E89" s="94" t="s">
        <v>240</v>
      </c>
      <c r="F89" s="30">
        <v>4.7E-2</v>
      </c>
      <c r="G89" s="30">
        <v>4.7E-2</v>
      </c>
      <c r="H89" s="155" t="s">
        <v>1004</v>
      </c>
      <c r="I89" s="156" t="s">
        <v>1006</v>
      </c>
      <c r="J89" s="30">
        <v>4.7E-2</v>
      </c>
      <c r="K89" s="182"/>
      <c r="L89" s="8" t="s">
        <v>958</v>
      </c>
      <c r="M89" s="36"/>
      <c r="N89" s="113"/>
    </row>
    <row r="90" spans="2:14" x14ac:dyDescent="0.25">
      <c r="B90" s="8"/>
      <c r="C90" s="8"/>
      <c r="D90" s="68" t="s">
        <v>241</v>
      </c>
      <c r="E90" s="94" t="s">
        <v>243</v>
      </c>
      <c r="F90" s="30">
        <v>0.14099999999999999</v>
      </c>
      <c r="G90" s="30">
        <v>0.14099999999999999</v>
      </c>
      <c r="H90" s="155" t="s">
        <v>1004</v>
      </c>
      <c r="I90" s="156" t="s">
        <v>1006</v>
      </c>
      <c r="J90" s="30">
        <v>0.14099999999999999</v>
      </c>
      <c r="K90" s="182"/>
      <c r="L90" s="8" t="s">
        <v>958</v>
      </c>
      <c r="M90" s="36"/>
      <c r="N90" s="113"/>
    </row>
    <row r="91" spans="2:14" x14ac:dyDescent="0.25">
      <c r="B91" s="8"/>
      <c r="C91" s="8"/>
      <c r="D91" s="68" t="s">
        <v>242</v>
      </c>
      <c r="E91" s="94" t="s">
        <v>244</v>
      </c>
      <c r="F91" s="30">
        <v>0.05</v>
      </c>
      <c r="G91" s="30">
        <v>0.05</v>
      </c>
      <c r="H91" s="155" t="s">
        <v>1004</v>
      </c>
      <c r="I91" s="156" t="s">
        <v>1006</v>
      </c>
      <c r="J91" s="30">
        <v>0.05</v>
      </c>
      <c r="K91" s="182"/>
      <c r="L91" s="8" t="s">
        <v>958</v>
      </c>
      <c r="M91" s="36"/>
      <c r="N91" s="113"/>
    </row>
    <row r="92" spans="2:14" x14ac:dyDescent="0.25">
      <c r="B92" s="8"/>
      <c r="C92" s="8"/>
      <c r="D92" s="14" t="s">
        <v>237</v>
      </c>
      <c r="E92" s="94" t="s">
        <v>238</v>
      </c>
      <c r="F92" s="30">
        <v>0.23799999999999999</v>
      </c>
      <c r="G92" s="30">
        <v>0.23799999999999999</v>
      </c>
      <c r="H92" s="155" t="s">
        <v>1004</v>
      </c>
      <c r="I92" s="156" t="s">
        <v>1006</v>
      </c>
      <c r="J92" s="30">
        <v>0.23799999999999999</v>
      </c>
      <c r="K92" s="182"/>
      <c r="L92" s="8" t="s">
        <v>958</v>
      </c>
      <c r="M92" s="36"/>
      <c r="N92" s="113"/>
    </row>
    <row r="93" spans="2:14" x14ac:dyDescent="0.25">
      <c r="B93" s="8"/>
      <c r="C93" s="8"/>
      <c r="D93" s="14" t="s">
        <v>56</v>
      </c>
      <c r="E93" s="94" t="s">
        <v>125</v>
      </c>
      <c r="F93" s="30">
        <v>0.63100000000000001</v>
      </c>
      <c r="G93" s="30">
        <v>0.63100000000000001</v>
      </c>
      <c r="H93" s="155" t="s">
        <v>1004</v>
      </c>
      <c r="I93" s="156" t="s">
        <v>1006</v>
      </c>
      <c r="J93" s="30">
        <v>0.63100000000000001</v>
      </c>
      <c r="K93" s="182"/>
      <c r="L93" s="8" t="s">
        <v>958</v>
      </c>
      <c r="M93" s="36"/>
      <c r="N93" s="113"/>
    </row>
    <row r="94" spans="2:14" x14ac:dyDescent="0.25">
      <c r="B94" s="8"/>
      <c r="C94" s="8"/>
      <c r="D94" s="14" t="s">
        <v>235</v>
      </c>
      <c r="E94" s="94" t="s">
        <v>236</v>
      </c>
      <c r="F94" s="30">
        <v>0.06</v>
      </c>
      <c r="G94" s="30">
        <v>0.06</v>
      </c>
      <c r="H94" s="155" t="s">
        <v>1004</v>
      </c>
      <c r="I94" s="156" t="s">
        <v>1006</v>
      </c>
      <c r="J94" s="30">
        <v>0.06</v>
      </c>
      <c r="K94" s="182"/>
      <c r="L94" s="8" t="s">
        <v>958</v>
      </c>
      <c r="M94" s="36"/>
      <c r="N94" s="113"/>
    </row>
    <row r="95" spans="2:14" x14ac:dyDescent="0.25">
      <c r="B95" s="8"/>
      <c r="C95" s="8"/>
      <c r="D95" s="14" t="s">
        <v>57</v>
      </c>
      <c r="E95" s="94" t="s">
        <v>125</v>
      </c>
      <c r="F95" s="30">
        <v>0.63100000000000001</v>
      </c>
      <c r="G95" s="30">
        <v>0.63100000000000001</v>
      </c>
      <c r="H95" s="155" t="s">
        <v>1004</v>
      </c>
      <c r="I95" s="156" t="s">
        <v>1006</v>
      </c>
      <c r="J95" s="30">
        <v>0.63100000000000001</v>
      </c>
      <c r="K95" s="182"/>
      <c r="L95" s="8" t="s">
        <v>958</v>
      </c>
      <c r="M95" s="36"/>
      <c r="N95" s="113"/>
    </row>
    <row r="96" spans="2:14" x14ac:dyDescent="0.25">
      <c r="B96" s="8"/>
      <c r="C96" s="8"/>
      <c r="D96" s="14" t="s">
        <v>58</v>
      </c>
      <c r="E96" s="94" t="s">
        <v>126</v>
      </c>
      <c r="F96" s="30">
        <v>0.68899999999999995</v>
      </c>
      <c r="G96" s="30">
        <v>0.68899999999999995</v>
      </c>
      <c r="H96" s="155" t="s">
        <v>1004</v>
      </c>
      <c r="I96" s="156" t="s">
        <v>1006</v>
      </c>
      <c r="J96" s="30">
        <v>0.68899999999999995</v>
      </c>
      <c r="K96" s="182"/>
      <c r="L96" s="8" t="s">
        <v>958</v>
      </c>
      <c r="M96" s="36"/>
      <c r="N96" s="113"/>
    </row>
    <row r="97" spans="2:14" x14ac:dyDescent="0.25">
      <c r="B97" s="8"/>
      <c r="C97" s="8"/>
      <c r="D97" s="14" t="s">
        <v>227</v>
      </c>
      <c r="E97" s="94" t="s">
        <v>229</v>
      </c>
      <c r="F97" s="30">
        <v>6.2E-2</v>
      </c>
      <c r="G97" s="30">
        <v>6.2E-2</v>
      </c>
      <c r="H97" s="155" t="s">
        <v>1004</v>
      </c>
      <c r="I97" s="156" t="s">
        <v>1006</v>
      </c>
      <c r="J97" s="30">
        <v>6.2E-2</v>
      </c>
      <c r="K97" s="182"/>
      <c r="L97" s="8" t="s">
        <v>958</v>
      </c>
      <c r="M97" s="36"/>
      <c r="N97" s="113"/>
    </row>
    <row r="98" spans="2:14" x14ac:dyDescent="0.25">
      <c r="B98" s="8"/>
      <c r="C98" s="8"/>
      <c r="D98" s="14" t="s">
        <v>228</v>
      </c>
      <c r="E98" s="94" t="s">
        <v>230</v>
      </c>
      <c r="F98" s="30">
        <v>8.6999999999999994E-2</v>
      </c>
      <c r="G98" s="30">
        <v>8.6999999999999994E-2</v>
      </c>
      <c r="H98" s="155" t="s">
        <v>1004</v>
      </c>
      <c r="I98" s="156" t="s">
        <v>1006</v>
      </c>
      <c r="J98" s="30">
        <v>8.6999999999999994E-2</v>
      </c>
      <c r="K98" s="182"/>
      <c r="L98" s="8" t="s">
        <v>958</v>
      </c>
      <c r="M98" s="36"/>
      <c r="N98" s="113"/>
    </row>
    <row r="99" spans="2:14" ht="15" customHeight="1" x14ac:dyDescent="0.25">
      <c r="B99" s="8"/>
      <c r="C99" s="8"/>
      <c r="D99" s="14" t="s">
        <v>1150</v>
      </c>
      <c r="E99" s="94" t="s">
        <v>110</v>
      </c>
      <c r="F99" s="30">
        <v>1.2250000000000001</v>
      </c>
      <c r="G99" s="30">
        <v>1.2250000000000001</v>
      </c>
      <c r="H99" s="155" t="s">
        <v>1004</v>
      </c>
      <c r="I99" s="156" t="s">
        <v>1006</v>
      </c>
      <c r="J99" s="30">
        <v>1.2250000000000001</v>
      </c>
      <c r="K99" s="182"/>
      <c r="L99" s="8" t="s">
        <v>958</v>
      </c>
      <c r="M99" s="39"/>
      <c r="N99" s="113"/>
    </row>
    <row r="100" spans="2:14" x14ac:dyDescent="0.25">
      <c r="B100" s="8"/>
      <c r="C100" s="8"/>
      <c r="D100" s="14" t="s">
        <v>35</v>
      </c>
      <c r="E100" s="94" t="s">
        <v>127</v>
      </c>
      <c r="F100" s="30">
        <v>0.52900000000000003</v>
      </c>
      <c r="G100" s="30">
        <v>0.52900000000000003</v>
      </c>
      <c r="H100" s="155" t="s">
        <v>1004</v>
      </c>
      <c r="I100" s="156" t="s">
        <v>1006</v>
      </c>
      <c r="J100" s="30">
        <v>0.52900000000000003</v>
      </c>
      <c r="K100" s="182"/>
      <c r="L100" s="8" t="s">
        <v>958</v>
      </c>
      <c r="M100" s="39"/>
      <c r="N100" s="113"/>
    </row>
    <row r="101" spans="2:14" x14ac:dyDescent="0.25">
      <c r="B101" s="8"/>
      <c r="C101" s="8"/>
      <c r="D101" s="14" t="s">
        <v>36</v>
      </c>
      <c r="E101" s="94" t="s">
        <v>128</v>
      </c>
      <c r="F101" s="30">
        <v>0.53</v>
      </c>
      <c r="G101" s="30">
        <v>0.53</v>
      </c>
      <c r="H101" s="155" t="s">
        <v>1004</v>
      </c>
      <c r="I101" s="156" t="s">
        <v>1006</v>
      </c>
      <c r="J101" s="30">
        <v>0.53</v>
      </c>
      <c r="K101" s="182"/>
      <c r="L101" s="8" t="s">
        <v>958</v>
      </c>
      <c r="M101" s="39"/>
      <c r="N101" s="113"/>
    </row>
    <row r="102" spans="2:14" x14ac:dyDescent="0.25">
      <c r="B102" s="8"/>
      <c r="C102" s="8"/>
      <c r="D102" s="14" t="s">
        <v>38</v>
      </c>
      <c r="E102" s="120" t="s">
        <v>129</v>
      </c>
      <c r="F102" s="30">
        <v>0.151</v>
      </c>
      <c r="G102" s="30">
        <v>0.151</v>
      </c>
      <c r="H102" s="155" t="s">
        <v>1004</v>
      </c>
      <c r="I102" s="156" t="s">
        <v>1006</v>
      </c>
      <c r="J102" s="30">
        <v>0.151</v>
      </c>
      <c r="K102" s="182"/>
      <c r="L102" s="8" t="s">
        <v>958</v>
      </c>
      <c r="M102" s="39"/>
      <c r="N102" s="113"/>
    </row>
    <row r="103" spans="2:14" x14ac:dyDescent="0.25">
      <c r="B103" s="8"/>
      <c r="C103" s="8"/>
      <c r="D103" s="14" t="s">
        <v>68</v>
      </c>
      <c r="E103" s="94" t="s">
        <v>129</v>
      </c>
      <c r="F103" s="30">
        <v>0.151</v>
      </c>
      <c r="G103" s="30">
        <v>0.151</v>
      </c>
      <c r="H103" s="155" t="s">
        <v>1004</v>
      </c>
      <c r="I103" s="156" t="s">
        <v>1006</v>
      </c>
      <c r="J103" s="30">
        <v>0.151</v>
      </c>
      <c r="K103" s="182"/>
      <c r="L103" s="8" t="s">
        <v>958</v>
      </c>
      <c r="M103" s="39"/>
      <c r="N103" s="113"/>
    </row>
    <row r="104" spans="2:14" x14ac:dyDescent="0.25">
      <c r="B104" s="8"/>
      <c r="C104" s="8"/>
      <c r="D104" s="14" t="s">
        <v>59</v>
      </c>
      <c r="E104" s="94" t="s">
        <v>112</v>
      </c>
      <c r="F104" s="30">
        <v>0.74199999999999999</v>
      </c>
      <c r="G104" s="30">
        <v>0.74199999999999999</v>
      </c>
      <c r="H104" s="155" t="s">
        <v>1004</v>
      </c>
      <c r="I104" s="156" t="s">
        <v>1006</v>
      </c>
      <c r="J104" s="30">
        <v>0.74199999999999999</v>
      </c>
      <c r="K104" s="182"/>
      <c r="L104" s="8" t="s">
        <v>958</v>
      </c>
      <c r="M104" s="39"/>
      <c r="N104" s="113"/>
    </row>
    <row r="105" spans="2:14" x14ac:dyDescent="0.25">
      <c r="B105" s="8"/>
      <c r="C105" s="8"/>
      <c r="D105" s="14" t="s">
        <v>113</v>
      </c>
      <c r="E105" s="94" t="s">
        <v>112</v>
      </c>
      <c r="F105" s="30">
        <v>0.74199999999999999</v>
      </c>
      <c r="G105" s="30">
        <v>0.74199999999999999</v>
      </c>
      <c r="H105" s="155" t="s">
        <v>1004</v>
      </c>
      <c r="I105" s="156" t="s">
        <v>1006</v>
      </c>
      <c r="J105" s="30">
        <v>0.74199999999999999</v>
      </c>
      <c r="K105" s="182"/>
      <c r="L105" s="8" t="s">
        <v>958</v>
      </c>
      <c r="M105" s="39"/>
      <c r="N105" s="113"/>
    </row>
    <row r="106" spans="2:14" x14ac:dyDescent="0.25">
      <c r="B106" s="8"/>
      <c r="C106" s="8"/>
      <c r="D106" s="14" t="s">
        <v>65</v>
      </c>
      <c r="E106" s="94" t="s">
        <v>87</v>
      </c>
      <c r="F106" s="30">
        <f>1*2</f>
        <v>2</v>
      </c>
      <c r="G106" s="30">
        <f>1*2</f>
        <v>2</v>
      </c>
      <c r="H106" s="155" t="s">
        <v>1004</v>
      </c>
      <c r="I106" s="156" t="s">
        <v>1006</v>
      </c>
      <c r="J106" s="30">
        <f>1*2</f>
        <v>2</v>
      </c>
      <c r="K106" s="182"/>
      <c r="L106" s="8" t="s">
        <v>958</v>
      </c>
      <c r="M106" s="40"/>
      <c r="N106" s="113"/>
    </row>
    <row r="107" spans="2:14" x14ac:dyDescent="0.25">
      <c r="B107" s="8"/>
      <c r="C107" s="8"/>
      <c r="D107" s="13" t="s">
        <v>66</v>
      </c>
      <c r="E107" s="94" t="s">
        <v>130</v>
      </c>
      <c r="F107" s="30">
        <v>6.4000000000000001E-2</v>
      </c>
      <c r="G107" s="30">
        <v>6.4000000000000001E-2</v>
      </c>
      <c r="H107" s="155" t="s">
        <v>1004</v>
      </c>
      <c r="I107" s="156" t="s">
        <v>1006</v>
      </c>
      <c r="J107" s="30">
        <v>6.4000000000000001E-2</v>
      </c>
      <c r="K107" s="182"/>
      <c r="L107" s="8" t="s">
        <v>958</v>
      </c>
      <c r="M107" s="40"/>
      <c r="N107" s="113"/>
    </row>
    <row r="108" spans="2:14" x14ac:dyDescent="0.25">
      <c r="B108" s="8"/>
      <c r="C108" s="8"/>
      <c r="D108" s="13" t="s">
        <v>67</v>
      </c>
      <c r="E108" s="94" t="s">
        <v>131</v>
      </c>
      <c r="F108" s="30">
        <v>0.94499999999999995</v>
      </c>
      <c r="G108" s="30">
        <v>0.94499999999999995</v>
      </c>
      <c r="H108" s="155" t="s">
        <v>1004</v>
      </c>
      <c r="I108" s="156" t="s">
        <v>1006</v>
      </c>
      <c r="J108" s="30">
        <v>0.94499999999999995</v>
      </c>
      <c r="K108" s="182"/>
      <c r="L108" s="8" t="s">
        <v>958</v>
      </c>
      <c r="M108" s="40"/>
      <c r="N108" s="113"/>
    </row>
    <row r="109" spans="2:14" x14ac:dyDescent="0.25">
      <c r="B109" s="8"/>
      <c r="C109" s="8"/>
      <c r="D109" s="13" t="s">
        <v>148</v>
      </c>
      <c r="E109" s="7"/>
      <c r="F109" s="30">
        <v>6.1180000000000003</v>
      </c>
      <c r="G109" s="30">
        <v>6.1180000000000003</v>
      </c>
      <c r="H109" s="155" t="s">
        <v>1004</v>
      </c>
      <c r="I109" s="156" t="s">
        <v>1006</v>
      </c>
      <c r="J109" s="30">
        <v>6.1180000000000003</v>
      </c>
      <c r="K109" s="182"/>
      <c r="L109" s="8" t="s">
        <v>958</v>
      </c>
      <c r="M109" s="40"/>
      <c r="N109" s="113"/>
    </row>
    <row r="110" spans="2:14" x14ac:dyDescent="0.25">
      <c r="B110" s="8"/>
      <c r="C110" s="8"/>
      <c r="D110" s="13"/>
      <c r="E110" s="42" t="s">
        <v>89</v>
      </c>
      <c r="F110" s="43">
        <f>SUM(F56:F109)</f>
        <v>34.391000000000005</v>
      </c>
      <c r="G110" s="43">
        <f>SUM(G56:G109)</f>
        <v>34.391000000000005</v>
      </c>
      <c r="H110" s="155"/>
      <c r="I110" s="27"/>
      <c r="J110" s="8"/>
      <c r="K110" s="8"/>
      <c r="L110" s="8"/>
      <c r="M110" s="40"/>
      <c r="N110" s="9"/>
    </row>
    <row r="112" spans="2:14" x14ac:dyDescent="0.25">
      <c r="B112" s="129" t="s">
        <v>30</v>
      </c>
      <c r="E112" s="110"/>
      <c r="H112" s="157"/>
      <c r="I112" s="199" t="s">
        <v>1184</v>
      </c>
      <c r="J112" s="134">
        <f>SUM(J9:J14,J18:J24,J131:J134,J138:J141)</f>
        <v>14.053000000000001</v>
      </c>
      <c r="K112" s="134">
        <f>SUM(K121,K129,K136)</f>
        <v>19.844999999999999</v>
      </c>
    </row>
    <row r="113" spans="2:14" x14ac:dyDescent="0.25">
      <c r="B113" s="129"/>
      <c r="E113" s="110"/>
      <c r="H113" s="157"/>
    </row>
    <row r="114" spans="2:14" ht="15.75" thickBot="1" x14ac:dyDescent="0.3">
      <c r="E114" s="110"/>
      <c r="H114" s="157"/>
    </row>
    <row r="115" spans="2:14" ht="19.5" thickBot="1" x14ac:dyDescent="0.3">
      <c r="B115" s="349" t="s">
        <v>18</v>
      </c>
      <c r="C115" s="350"/>
      <c r="D115" s="350"/>
      <c r="E115" s="350"/>
      <c r="F115" s="350"/>
      <c r="G115" s="350"/>
      <c r="H115" s="350"/>
      <c r="I115" s="350"/>
      <c r="J115" s="350"/>
      <c r="K115" s="350"/>
      <c r="L115" s="350"/>
      <c r="M115" s="351"/>
      <c r="N115" s="230"/>
    </row>
    <row r="116" spans="2:14" x14ac:dyDescent="0.25">
      <c r="B116" s="357" t="s">
        <v>19</v>
      </c>
      <c r="C116" s="355"/>
      <c r="D116" s="355"/>
      <c r="E116" s="355"/>
      <c r="F116" s="355"/>
      <c r="G116" s="355"/>
      <c r="H116" s="355"/>
      <c r="I116" s="355" t="s">
        <v>1003</v>
      </c>
      <c r="J116" s="355"/>
      <c r="K116" s="355"/>
      <c r="L116" s="355"/>
      <c r="M116" s="356"/>
      <c r="N116" s="231"/>
    </row>
    <row r="117" spans="2:14" x14ac:dyDescent="0.25">
      <c r="B117" s="352"/>
      <c r="C117" s="353"/>
      <c r="D117" s="353"/>
      <c r="E117" s="353"/>
      <c r="F117" s="353"/>
      <c r="G117" s="353"/>
      <c r="H117" s="353"/>
      <c r="I117" s="353"/>
      <c r="J117" s="353"/>
      <c r="K117" s="353"/>
      <c r="L117" s="353"/>
      <c r="M117" s="354"/>
      <c r="N117" s="232"/>
    </row>
    <row r="118" spans="2:14" ht="15.75" thickBot="1" x14ac:dyDescent="0.3">
      <c r="B118" s="358" t="s">
        <v>21</v>
      </c>
      <c r="C118" s="359"/>
      <c r="D118" s="359"/>
      <c r="E118" s="359" t="s">
        <v>1051</v>
      </c>
      <c r="F118" s="359"/>
      <c r="G118" s="359"/>
      <c r="H118" s="359"/>
      <c r="I118" s="359"/>
      <c r="J118" s="359" t="s">
        <v>1052</v>
      </c>
      <c r="K118" s="359"/>
      <c r="L118" s="359"/>
      <c r="M118" s="360"/>
      <c r="N118" s="233"/>
    </row>
    <row r="119" spans="2:14" ht="45.75" thickBot="1" x14ac:dyDescent="0.3">
      <c r="B119" s="18" t="s">
        <v>12</v>
      </c>
      <c r="C119" s="19" t="s">
        <v>13</v>
      </c>
      <c r="D119" s="19" t="s">
        <v>63</v>
      </c>
      <c r="E119" s="19" t="s">
        <v>64</v>
      </c>
      <c r="F119" s="137" t="s">
        <v>998</v>
      </c>
      <c r="G119" s="137" t="s">
        <v>999</v>
      </c>
      <c r="H119" s="19" t="s">
        <v>14</v>
      </c>
      <c r="I119" s="26" t="s">
        <v>15</v>
      </c>
      <c r="J119" s="19" t="s">
        <v>1102</v>
      </c>
      <c r="K119" s="19" t="s">
        <v>1103</v>
      </c>
      <c r="L119" s="37" t="s">
        <v>16</v>
      </c>
      <c r="M119" s="38" t="s">
        <v>17</v>
      </c>
      <c r="N119" s="195" t="s">
        <v>1185</v>
      </c>
    </row>
    <row r="120" spans="2:14" x14ac:dyDescent="0.25">
      <c r="B120" s="8"/>
      <c r="C120" s="8"/>
      <c r="D120" s="54" t="s">
        <v>992</v>
      </c>
      <c r="E120"/>
      <c r="F120" s="8"/>
      <c r="G120" s="8"/>
      <c r="H120" s="8"/>
      <c r="I120" s="8"/>
      <c r="J120" s="8"/>
      <c r="K120" s="8"/>
      <c r="L120" s="8"/>
      <c r="M120" s="8"/>
      <c r="N120" s="234"/>
    </row>
    <row r="121" spans="2:14" x14ac:dyDescent="0.25">
      <c r="B121" s="8"/>
      <c r="C121" s="8"/>
      <c r="D121" s="34" t="s">
        <v>517</v>
      </c>
      <c r="E121" s="8" t="s">
        <v>518</v>
      </c>
      <c r="F121" s="52">
        <v>3.1789999999999998</v>
      </c>
      <c r="G121" s="52">
        <v>3.1789999999999998</v>
      </c>
      <c r="H121" s="155">
        <v>2</v>
      </c>
      <c r="I121" s="156" t="s">
        <v>1005</v>
      </c>
      <c r="J121" s="163"/>
      <c r="K121" s="55">
        <v>3.1789999999999998</v>
      </c>
      <c r="L121" s="8" t="s">
        <v>957</v>
      </c>
      <c r="M121" s="8"/>
      <c r="N121" s="113"/>
    </row>
    <row r="122" spans="2:14" x14ac:dyDescent="0.25">
      <c r="B122" s="8"/>
      <c r="C122" s="8"/>
      <c r="D122" s="57" t="s">
        <v>519</v>
      </c>
      <c r="E122" s="8"/>
      <c r="F122" s="8"/>
      <c r="G122" s="8"/>
      <c r="H122" s="8"/>
      <c r="I122" s="8"/>
      <c r="J122" s="8"/>
      <c r="K122" s="123"/>
      <c r="L122" s="8"/>
      <c r="M122" s="8"/>
      <c r="N122" s="113"/>
    </row>
    <row r="123" spans="2:14" x14ac:dyDescent="0.25">
      <c r="B123" s="8"/>
      <c r="C123" s="8"/>
      <c r="D123" s="13" t="s">
        <v>1149</v>
      </c>
      <c r="E123" s="8" t="s">
        <v>520</v>
      </c>
      <c r="F123" s="222">
        <v>0.35899999999999999</v>
      </c>
      <c r="G123" s="179">
        <v>0.35899999999999999</v>
      </c>
      <c r="H123" s="223" t="s">
        <v>1004</v>
      </c>
      <c r="I123" s="156" t="s">
        <v>1006</v>
      </c>
      <c r="J123" s="222">
        <v>0.35899999999999999</v>
      </c>
      <c r="K123" s="55"/>
      <c r="L123" s="8" t="s">
        <v>958</v>
      </c>
      <c r="M123" s="8"/>
      <c r="N123" s="113"/>
    </row>
    <row r="124" spans="2:14" x14ac:dyDescent="0.25">
      <c r="B124" s="8"/>
      <c r="C124" s="8"/>
      <c r="D124" s="13" t="s">
        <v>33</v>
      </c>
      <c r="E124" s="8" t="s">
        <v>521</v>
      </c>
      <c r="F124" s="222">
        <v>0.35199999999999998</v>
      </c>
      <c r="G124" s="179">
        <v>0.35199999999999998</v>
      </c>
      <c r="H124" s="223" t="s">
        <v>1004</v>
      </c>
      <c r="I124" s="156" t="s">
        <v>1006</v>
      </c>
      <c r="J124" s="222">
        <v>0.35199999999999998</v>
      </c>
      <c r="K124" s="55"/>
      <c r="L124" s="8" t="s">
        <v>958</v>
      </c>
      <c r="M124" s="8"/>
      <c r="N124" s="113"/>
    </row>
    <row r="125" spans="2:14" x14ac:dyDescent="0.25">
      <c r="B125" s="8"/>
      <c r="C125" s="8"/>
      <c r="D125" s="13" t="s">
        <v>1150</v>
      </c>
      <c r="E125" s="8" t="s">
        <v>522</v>
      </c>
      <c r="F125" s="222">
        <v>0.372</v>
      </c>
      <c r="G125" s="179">
        <v>0.372</v>
      </c>
      <c r="H125" s="223" t="s">
        <v>1004</v>
      </c>
      <c r="I125" s="156" t="s">
        <v>1006</v>
      </c>
      <c r="J125" s="222">
        <v>0.372</v>
      </c>
      <c r="K125" s="55"/>
      <c r="L125" s="8" t="s">
        <v>958</v>
      </c>
      <c r="M125" s="8"/>
      <c r="N125" s="113"/>
    </row>
    <row r="126" spans="2:14" x14ac:dyDescent="0.25">
      <c r="B126" s="8"/>
      <c r="C126" s="8"/>
      <c r="D126" s="13" t="s">
        <v>35</v>
      </c>
      <c r="E126" s="8" t="s">
        <v>523</v>
      </c>
      <c r="F126" s="222">
        <v>0.185</v>
      </c>
      <c r="G126" s="179">
        <v>0.185</v>
      </c>
      <c r="H126" s="223" t="s">
        <v>1004</v>
      </c>
      <c r="I126" s="156" t="s">
        <v>1006</v>
      </c>
      <c r="J126" s="222">
        <v>0.185</v>
      </c>
      <c r="K126" s="55"/>
      <c r="L126" s="8" t="s">
        <v>958</v>
      </c>
      <c r="M126" s="8"/>
      <c r="N126" s="113"/>
    </row>
    <row r="127" spans="2:14" x14ac:dyDescent="0.25">
      <c r="B127" s="8"/>
      <c r="C127" s="8"/>
      <c r="D127" s="13" t="s">
        <v>148</v>
      </c>
      <c r="E127" s="8"/>
      <c r="F127" s="51">
        <v>0.28000000000000003</v>
      </c>
      <c r="G127" s="51">
        <v>0.28000000000000003</v>
      </c>
      <c r="H127" s="223" t="s">
        <v>1004</v>
      </c>
      <c r="I127" s="156" t="s">
        <v>1006</v>
      </c>
      <c r="J127" s="51">
        <v>0.28000000000000003</v>
      </c>
      <c r="K127" s="55"/>
      <c r="L127" s="8" t="s">
        <v>958</v>
      </c>
      <c r="M127" s="8"/>
      <c r="N127" s="113"/>
    </row>
    <row r="128" spans="2:14" x14ac:dyDescent="0.25">
      <c r="B128" s="8"/>
      <c r="C128" s="8"/>
      <c r="D128" s="13"/>
      <c r="E128" s="86" t="s">
        <v>89</v>
      </c>
      <c r="F128" s="43">
        <f>SUM(F123:F127)</f>
        <v>1.548</v>
      </c>
      <c r="G128" s="43">
        <f>SUM(G123:G127)</f>
        <v>1.548</v>
      </c>
      <c r="H128" s="8"/>
      <c r="I128" s="8"/>
      <c r="J128" s="8"/>
      <c r="K128" s="123"/>
      <c r="L128" s="8"/>
      <c r="M128" s="8"/>
      <c r="N128" s="113"/>
    </row>
    <row r="129" spans="2:14" x14ac:dyDescent="0.25">
      <c r="B129" s="8"/>
      <c r="C129" s="8"/>
      <c r="D129" s="34" t="s">
        <v>524</v>
      </c>
      <c r="E129" s="8" t="s">
        <v>525</v>
      </c>
      <c r="F129" s="52">
        <v>3.2989999999999999</v>
      </c>
      <c r="G129" s="52">
        <v>3.2989999999999999</v>
      </c>
      <c r="H129" s="155">
        <v>2</v>
      </c>
      <c r="I129" s="156" t="s">
        <v>1005</v>
      </c>
      <c r="J129" s="163"/>
      <c r="K129" s="55">
        <v>3.2989999999999999</v>
      </c>
      <c r="L129" s="8" t="s">
        <v>957</v>
      </c>
      <c r="M129" s="8"/>
      <c r="N129" s="113"/>
    </row>
    <row r="130" spans="2:14" x14ac:dyDescent="0.25">
      <c r="B130" s="8"/>
      <c r="C130" s="8"/>
      <c r="D130" s="57" t="s">
        <v>526</v>
      </c>
      <c r="E130" s="8"/>
      <c r="F130" s="222"/>
      <c r="G130" s="179"/>
      <c r="H130" s="8"/>
      <c r="I130" s="8"/>
      <c r="J130" s="8"/>
      <c r="K130" s="123"/>
      <c r="L130" s="8"/>
      <c r="M130" s="8"/>
      <c r="N130" s="113"/>
    </row>
    <row r="131" spans="2:14" x14ac:dyDescent="0.25">
      <c r="B131" s="8"/>
      <c r="C131" s="8"/>
      <c r="D131" s="13" t="s">
        <v>1149</v>
      </c>
      <c r="E131" s="8" t="s">
        <v>528</v>
      </c>
      <c r="F131" s="222">
        <v>0.21299999999999999</v>
      </c>
      <c r="G131" s="179">
        <v>0.21299999999999999</v>
      </c>
      <c r="H131" s="155">
        <v>2</v>
      </c>
      <c r="I131" s="156" t="s">
        <v>1005</v>
      </c>
      <c r="J131" s="222">
        <v>0.21299999999999999</v>
      </c>
      <c r="K131" s="55"/>
      <c r="L131" s="8" t="s">
        <v>957</v>
      </c>
      <c r="M131" s="8"/>
      <c r="N131" s="113"/>
    </row>
    <row r="132" spans="2:14" x14ac:dyDescent="0.25">
      <c r="B132" s="8"/>
      <c r="C132" s="8"/>
      <c r="D132" s="13" t="s">
        <v>33</v>
      </c>
      <c r="E132" s="8" t="s">
        <v>529</v>
      </c>
      <c r="F132" s="222">
        <v>0.20699999999999999</v>
      </c>
      <c r="G132" s="179">
        <v>0.20699999999999999</v>
      </c>
      <c r="H132" s="155">
        <v>2</v>
      </c>
      <c r="I132" s="156" t="s">
        <v>1005</v>
      </c>
      <c r="J132" s="222">
        <v>0.20699999999999999</v>
      </c>
      <c r="K132" s="55"/>
      <c r="L132" s="8" t="s">
        <v>957</v>
      </c>
      <c r="M132" s="8"/>
      <c r="N132" s="113"/>
    </row>
    <row r="133" spans="2:14" x14ac:dyDescent="0.25">
      <c r="B133" s="8"/>
      <c r="C133" s="8"/>
      <c r="D133" s="13" t="s">
        <v>1150</v>
      </c>
      <c r="E133" s="8" t="s">
        <v>527</v>
      </c>
      <c r="F133" s="222">
        <v>0.126</v>
      </c>
      <c r="G133" s="179">
        <v>0.126</v>
      </c>
      <c r="H133" s="155">
        <v>2</v>
      </c>
      <c r="I133" s="156" t="s">
        <v>1005</v>
      </c>
      <c r="J133" s="222">
        <v>0.126</v>
      </c>
      <c r="K133" s="55"/>
      <c r="L133" s="8" t="s">
        <v>957</v>
      </c>
      <c r="M133" s="8"/>
      <c r="N133" s="113"/>
    </row>
    <row r="134" spans="2:14" x14ac:dyDescent="0.25">
      <c r="B134" s="8"/>
      <c r="C134" s="8"/>
      <c r="D134" s="13" t="s">
        <v>148</v>
      </c>
      <c r="E134" s="8"/>
      <c r="F134" s="51">
        <v>0.15</v>
      </c>
      <c r="G134" s="51">
        <v>0.15</v>
      </c>
      <c r="H134" s="155">
        <v>2</v>
      </c>
      <c r="I134" s="156" t="s">
        <v>1005</v>
      </c>
      <c r="J134" s="51">
        <v>0.15</v>
      </c>
      <c r="K134" s="55"/>
      <c r="L134" s="8" t="s">
        <v>957</v>
      </c>
      <c r="M134" s="8"/>
      <c r="N134" s="113"/>
    </row>
    <row r="135" spans="2:14" x14ac:dyDescent="0.25">
      <c r="B135" s="8"/>
      <c r="C135" s="8"/>
      <c r="D135" s="13"/>
      <c r="E135" s="86" t="s">
        <v>89</v>
      </c>
      <c r="F135" s="43">
        <f>SUM(F131:F134)</f>
        <v>0.69600000000000006</v>
      </c>
      <c r="G135" s="43">
        <f>SUM(G131:G134)</f>
        <v>0.69600000000000006</v>
      </c>
      <c r="H135" s="8"/>
      <c r="I135" s="8"/>
      <c r="J135" s="8"/>
      <c r="K135" s="123"/>
      <c r="L135" s="8"/>
      <c r="M135" s="8"/>
      <c r="N135" s="113"/>
    </row>
    <row r="136" spans="2:14" x14ac:dyDescent="0.25">
      <c r="B136" s="8"/>
      <c r="C136" s="8"/>
      <c r="D136" s="174" t="s">
        <v>1056</v>
      </c>
      <c r="E136" s="169"/>
      <c r="F136" s="43">
        <v>13.367000000000001</v>
      </c>
      <c r="G136" s="43">
        <v>13.367000000000001</v>
      </c>
      <c r="H136" s="169">
        <v>2</v>
      </c>
      <c r="I136" s="156" t="s">
        <v>1005</v>
      </c>
      <c r="J136" s="169"/>
      <c r="K136" s="46">
        <v>13.367000000000001</v>
      </c>
      <c r="L136" s="8" t="s">
        <v>957</v>
      </c>
      <c r="M136" s="8"/>
      <c r="N136" s="113"/>
    </row>
    <row r="137" spans="2:14" x14ac:dyDescent="0.25">
      <c r="B137" s="8"/>
      <c r="C137" s="8"/>
      <c r="D137" s="57" t="s">
        <v>1057</v>
      </c>
      <c r="E137" s="169"/>
      <c r="F137" s="46"/>
      <c r="G137" s="46"/>
      <c r="H137" s="8"/>
      <c r="I137" s="8"/>
      <c r="J137" s="8"/>
      <c r="K137" s="123"/>
      <c r="L137" s="8"/>
      <c r="M137" s="8"/>
      <c r="N137" s="113"/>
    </row>
    <row r="138" spans="2:14" x14ac:dyDescent="0.25">
      <c r="B138" s="8"/>
      <c r="C138" s="8"/>
      <c r="D138" s="13" t="s">
        <v>985</v>
      </c>
      <c r="E138" s="169" t="s">
        <v>1058</v>
      </c>
      <c r="F138" s="46">
        <v>0.34100000000000003</v>
      </c>
      <c r="G138" s="46">
        <v>0.34100000000000003</v>
      </c>
      <c r="H138" s="169">
        <v>2</v>
      </c>
      <c r="I138" s="156" t="s">
        <v>1005</v>
      </c>
      <c r="J138" s="46">
        <v>0.34100000000000003</v>
      </c>
      <c r="K138" s="55"/>
      <c r="L138" s="8" t="s">
        <v>957</v>
      </c>
      <c r="M138" s="8"/>
      <c r="N138" s="113"/>
    </row>
    <row r="139" spans="2:14" x14ac:dyDescent="0.25">
      <c r="B139" s="8"/>
      <c r="C139" s="8"/>
      <c r="D139" s="13"/>
      <c r="E139" s="169"/>
      <c r="F139" s="46">
        <v>0.36799999999999999</v>
      </c>
      <c r="G139" s="46">
        <v>0.36799999999999999</v>
      </c>
      <c r="H139" s="169">
        <v>2</v>
      </c>
      <c r="I139" s="156" t="s">
        <v>1005</v>
      </c>
      <c r="J139" s="46">
        <v>0.36799999999999999</v>
      </c>
      <c r="K139" s="55"/>
      <c r="L139" s="8" t="s">
        <v>957</v>
      </c>
      <c r="M139" s="8"/>
      <c r="N139" s="113"/>
    </row>
    <row r="140" spans="2:14" x14ac:dyDescent="0.25">
      <c r="B140" s="8"/>
      <c r="C140" s="8"/>
      <c r="D140" s="13"/>
      <c r="E140" s="169"/>
      <c r="F140" s="46">
        <v>0.36799999999999999</v>
      </c>
      <c r="G140" s="46">
        <v>0.36799999999999999</v>
      </c>
      <c r="H140" s="169">
        <v>2</v>
      </c>
      <c r="I140" s="156" t="s">
        <v>1005</v>
      </c>
      <c r="J140" s="46">
        <v>0.36799999999999999</v>
      </c>
      <c r="K140" s="55"/>
      <c r="L140" s="8" t="s">
        <v>957</v>
      </c>
      <c r="M140" s="8"/>
      <c r="N140" s="113"/>
    </row>
    <row r="141" spans="2:14" x14ac:dyDescent="0.25">
      <c r="B141" s="8"/>
      <c r="C141" s="8"/>
      <c r="D141" s="13"/>
      <c r="E141" s="169"/>
      <c r="F141" s="46">
        <v>0.16600000000000001</v>
      </c>
      <c r="G141" s="46">
        <v>0.16600000000000001</v>
      </c>
      <c r="H141" s="169">
        <v>2</v>
      </c>
      <c r="I141" s="156" t="s">
        <v>1005</v>
      </c>
      <c r="J141" s="46">
        <v>0.16600000000000001</v>
      </c>
      <c r="K141" s="55"/>
      <c r="L141" s="8" t="s">
        <v>957</v>
      </c>
      <c r="M141" s="8"/>
      <c r="N141" s="113"/>
    </row>
    <row r="142" spans="2:14" x14ac:dyDescent="0.25">
      <c r="B142" s="8"/>
      <c r="C142" s="8"/>
      <c r="D142" s="173"/>
      <c r="E142" s="169" t="s">
        <v>89</v>
      </c>
      <c r="F142" s="43">
        <f>SUM(F138:F141)</f>
        <v>1.2429999999999999</v>
      </c>
      <c r="G142" s="43">
        <f>SUM(G138:G141)</f>
        <v>1.2429999999999999</v>
      </c>
      <c r="H142" s="8"/>
      <c r="I142" s="8"/>
      <c r="J142" s="8"/>
      <c r="K142" s="123"/>
      <c r="L142" s="8"/>
      <c r="M142" s="8"/>
      <c r="N142" s="113"/>
    </row>
    <row r="143" spans="2:14" x14ac:dyDescent="0.25">
      <c r="B143" s="8"/>
      <c r="C143" s="8"/>
      <c r="D143" s="174" t="s">
        <v>1059</v>
      </c>
      <c r="E143" s="169" t="s">
        <v>1061</v>
      </c>
      <c r="F143" s="43">
        <v>3.7149999999999999</v>
      </c>
      <c r="G143" s="43">
        <v>3.7149999999999999</v>
      </c>
      <c r="H143" s="223" t="s">
        <v>1004</v>
      </c>
      <c r="I143" s="156" t="s">
        <v>1006</v>
      </c>
      <c r="J143" s="169"/>
      <c r="K143" s="46">
        <v>3.7149999999999999</v>
      </c>
      <c r="L143" s="8" t="s">
        <v>958</v>
      </c>
      <c r="M143" s="8"/>
      <c r="N143" s="113"/>
    </row>
    <row r="144" spans="2:14" x14ac:dyDescent="0.25">
      <c r="B144" s="8"/>
      <c r="C144" s="8"/>
      <c r="D144" s="57" t="s">
        <v>1060</v>
      </c>
      <c r="E144" s="169"/>
      <c r="F144" s="46"/>
      <c r="G144" s="46"/>
      <c r="H144" s="8"/>
      <c r="I144" s="8"/>
      <c r="J144" s="8"/>
      <c r="K144" s="123"/>
      <c r="L144" s="8"/>
      <c r="M144" s="8"/>
      <c r="N144" s="113"/>
    </row>
    <row r="145" spans="2:14" x14ac:dyDescent="0.25">
      <c r="B145" s="8"/>
      <c r="C145" s="8"/>
      <c r="D145" s="13" t="s">
        <v>985</v>
      </c>
      <c r="E145" s="169" t="s">
        <v>1062</v>
      </c>
      <c r="F145" s="46">
        <v>0.40400000000000003</v>
      </c>
      <c r="G145" s="46">
        <v>0.40400000000000003</v>
      </c>
      <c r="H145" s="223" t="s">
        <v>1004</v>
      </c>
      <c r="I145" s="156" t="s">
        <v>1006</v>
      </c>
      <c r="J145" s="46">
        <v>0.40400000000000003</v>
      </c>
      <c r="K145" s="55"/>
      <c r="L145" s="8" t="s">
        <v>958</v>
      </c>
      <c r="M145" s="8"/>
      <c r="N145" s="113"/>
    </row>
    <row r="146" spans="2:14" x14ac:dyDescent="0.25">
      <c r="B146" s="8"/>
      <c r="C146" s="8"/>
      <c r="D146" s="13"/>
      <c r="E146" s="169"/>
      <c r="F146" s="46">
        <v>0.40400000000000003</v>
      </c>
      <c r="G146" s="46">
        <v>0.40400000000000003</v>
      </c>
      <c r="H146" s="223" t="s">
        <v>1004</v>
      </c>
      <c r="I146" s="156" t="s">
        <v>1006</v>
      </c>
      <c r="J146" s="46">
        <v>0.40400000000000003</v>
      </c>
      <c r="K146" s="55"/>
      <c r="L146" s="8" t="s">
        <v>958</v>
      </c>
      <c r="M146" s="8"/>
      <c r="N146" s="113"/>
    </row>
    <row r="147" spans="2:14" x14ac:dyDescent="0.25">
      <c r="B147" s="8"/>
      <c r="C147" s="8"/>
      <c r="D147" s="13"/>
      <c r="E147" s="169"/>
      <c r="F147" s="46">
        <v>0.39500000000000002</v>
      </c>
      <c r="G147" s="46">
        <v>0.39500000000000002</v>
      </c>
      <c r="H147" s="223" t="s">
        <v>1004</v>
      </c>
      <c r="I147" s="156" t="s">
        <v>1006</v>
      </c>
      <c r="J147" s="46">
        <v>0.39500000000000002</v>
      </c>
      <c r="K147" s="55"/>
      <c r="L147" s="8" t="s">
        <v>958</v>
      </c>
      <c r="M147" s="8"/>
      <c r="N147" s="113"/>
    </row>
    <row r="148" spans="2:14" x14ac:dyDescent="0.25">
      <c r="B148" s="8"/>
      <c r="C148" s="8"/>
      <c r="D148" s="13"/>
      <c r="E148" s="169"/>
      <c r="F148" s="46">
        <v>0.20300000000000001</v>
      </c>
      <c r="G148" s="46">
        <v>0.20300000000000001</v>
      </c>
      <c r="H148" s="223" t="s">
        <v>1004</v>
      </c>
      <c r="I148" s="156" t="s">
        <v>1006</v>
      </c>
      <c r="J148" s="46">
        <v>0.20300000000000001</v>
      </c>
      <c r="K148" s="55"/>
      <c r="L148" s="8" t="s">
        <v>958</v>
      </c>
      <c r="M148" s="8"/>
      <c r="N148" s="113"/>
    </row>
    <row r="149" spans="2:14" x14ac:dyDescent="0.25">
      <c r="B149" s="8"/>
      <c r="C149" s="8"/>
      <c r="D149" s="13"/>
      <c r="E149" s="169"/>
      <c r="F149" s="46">
        <v>0.20300000000000001</v>
      </c>
      <c r="G149" s="46">
        <v>0.20300000000000001</v>
      </c>
      <c r="H149" s="223" t="s">
        <v>1004</v>
      </c>
      <c r="I149" s="156" t="s">
        <v>1006</v>
      </c>
      <c r="J149" s="46">
        <v>0.20300000000000001</v>
      </c>
      <c r="K149" s="55"/>
      <c r="L149" s="8" t="s">
        <v>958</v>
      </c>
      <c r="M149" s="8"/>
      <c r="N149" s="113"/>
    </row>
    <row r="150" spans="2:14" x14ac:dyDescent="0.25">
      <c r="B150" s="8"/>
      <c r="C150" s="8"/>
      <c r="D150" s="13"/>
      <c r="E150" s="169"/>
      <c r="F150" s="46">
        <v>0.104</v>
      </c>
      <c r="G150" s="46">
        <v>0.104</v>
      </c>
      <c r="H150" s="223" t="s">
        <v>1004</v>
      </c>
      <c r="I150" s="156" t="s">
        <v>1006</v>
      </c>
      <c r="J150" s="46">
        <v>0.104</v>
      </c>
      <c r="K150" s="55"/>
      <c r="L150" s="8" t="s">
        <v>958</v>
      </c>
      <c r="M150" s="8"/>
      <c r="N150" s="113"/>
    </row>
    <row r="151" spans="2:14" x14ac:dyDescent="0.25">
      <c r="B151" s="8"/>
      <c r="C151" s="8"/>
      <c r="D151" s="13"/>
      <c r="E151" s="169"/>
      <c r="F151" s="46">
        <v>0.10199999999999999</v>
      </c>
      <c r="G151" s="46">
        <v>0.10199999999999999</v>
      </c>
      <c r="H151" s="223" t="s">
        <v>1004</v>
      </c>
      <c r="I151" s="156" t="s">
        <v>1006</v>
      </c>
      <c r="J151" s="46">
        <v>0.10199999999999999</v>
      </c>
      <c r="K151" s="55"/>
      <c r="L151" s="8" t="s">
        <v>958</v>
      </c>
      <c r="M151" s="8"/>
      <c r="N151" s="113"/>
    </row>
    <row r="152" spans="2:14" x14ac:dyDescent="0.25">
      <c r="B152" s="8"/>
      <c r="C152" s="8"/>
      <c r="D152" s="13"/>
      <c r="E152" s="169"/>
      <c r="F152" s="46">
        <v>0.13600000000000001</v>
      </c>
      <c r="G152" s="46">
        <v>0.13600000000000001</v>
      </c>
      <c r="H152" s="223" t="s">
        <v>1004</v>
      </c>
      <c r="I152" s="156" t="s">
        <v>1006</v>
      </c>
      <c r="J152" s="46">
        <v>0.13600000000000001</v>
      </c>
      <c r="K152" s="55"/>
      <c r="L152" s="8" t="s">
        <v>958</v>
      </c>
      <c r="M152" s="8"/>
      <c r="N152" s="113"/>
    </row>
    <row r="153" spans="2:14" x14ac:dyDescent="0.25">
      <c r="B153" s="8"/>
      <c r="C153" s="8"/>
      <c r="D153" s="13"/>
      <c r="E153" s="169"/>
      <c r="F153" s="46">
        <v>0.53300000000000003</v>
      </c>
      <c r="G153" s="46">
        <v>0.53300000000000003</v>
      </c>
      <c r="H153" s="223" t="s">
        <v>1004</v>
      </c>
      <c r="I153" s="156" t="s">
        <v>1006</v>
      </c>
      <c r="J153" s="46">
        <v>0.53300000000000003</v>
      </c>
      <c r="K153" s="55"/>
      <c r="L153" s="8" t="s">
        <v>958</v>
      </c>
      <c r="M153" s="8"/>
      <c r="N153" s="113"/>
    </row>
    <row r="154" spans="2:14" x14ac:dyDescent="0.25">
      <c r="B154" s="8"/>
      <c r="C154" s="8"/>
      <c r="D154" s="173"/>
      <c r="E154" s="169" t="s">
        <v>89</v>
      </c>
      <c r="F154" s="43">
        <f>SUM(F145:F153)</f>
        <v>2.4840000000000004</v>
      </c>
      <c r="G154" s="43">
        <f>SUM(G145:G153)</f>
        <v>2.4840000000000004</v>
      </c>
      <c r="H154" s="8"/>
      <c r="I154" s="8"/>
      <c r="J154" s="8"/>
      <c r="K154" s="123"/>
      <c r="L154" s="8"/>
      <c r="M154" s="8"/>
      <c r="N154" s="113"/>
    </row>
    <row r="155" spans="2:14" ht="15.75" thickBot="1" x14ac:dyDescent="0.3">
      <c r="B155" s="8"/>
      <c r="C155" s="8"/>
      <c r="D155" s="15" t="s">
        <v>1063</v>
      </c>
      <c r="E155" s="169" t="s">
        <v>1064</v>
      </c>
      <c r="F155" s="43">
        <v>6.9320000000000004</v>
      </c>
      <c r="G155" s="43">
        <v>6.9320000000000004</v>
      </c>
      <c r="H155" s="223" t="s">
        <v>1004</v>
      </c>
      <c r="I155" s="156" t="s">
        <v>1006</v>
      </c>
      <c r="J155" s="169"/>
      <c r="K155" s="46">
        <v>6.9320000000000004</v>
      </c>
      <c r="L155" s="8" t="s">
        <v>958</v>
      </c>
      <c r="M155" s="8"/>
      <c r="N155" s="9"/>
    </row>
    <row r="156" spans="2:14" ht="15.75" thickBot="1" x14ac:dyDescent="0.3">
      <c r="B156" s="157" t="s">
        <v>1007</v>
      </c>
      <c r="E156" s="95" t="s">
        <v>705</v>
      </c>
      <c r="F156" s="142">
        <f>SUM(F15,F16,F25,F26,F39,F43,F110,F121,F128,F129,F135,F136,F142,F143,F154,F155)</f>
        <v>127.78300000000002</v>
      </c>
      <c r="G156" s="142">
        <f>SUM(G15,G16,G25,G26,G39,G43,G110,G121,G128,G129,G135,G136,G142,G143,G154,G155)</f>
        <v>127.78300000000002</v>
      </c>
      <c r="H156" s="157"/>
      <c r="I156" s="203" t="s">
        <v>11</v>
      </c>
      <c r="J156" s="225">
        <f>SUM(J9:J43,J57:J109,J121:J155)</f>
        <v>52.476000000000028</v>
      </c>
      <c r="K156" s="226">
        <f>SUM(K9:K43,K57:K109,K121:K155)</f>
        <v>75.307000000000016</v>
      </c>
      <c r="L156" s="61" t="s">
        <v>1035</v>
      </c>
      <c r="M156" s="219">
        <f>J156+K156</f>
        <v>127.78300000000004</v>
      </c>
      <c r="N156" s="238"/>
    </row>
    <row r="157" spans="2:14" x14ac:dyDescent="0.25">
      <c r="B157" s="129" t="s">
        <v>30</v>
      </c>
      <c r="E157" s="110"/>
      <c r="H157" s="157"/>
      <c r="I157" s="205" t="s">
        <v>1104</v>
      </c>
      <c r="J157" s="206">
        <f>SUM(J9:J46,J57:J109,J121:J155)*1000*5</f>
        <v>262380.00000000012</v>
      </c>
      <c r="K157" s="206">
        <f>SUM(K9:K46,K57:K109,K121:K155)*1000*6</f>
        <v>451842.00000000012</v>
      </c>
      <c r="L157" s="207" t="s">
        <v>1155</v>
      </c>
    </row>
    <row r="158" spans="2:14" x14ac:dyDescent="0.25">
      <c r="E158" s="110" t="s">
        <v>1000</v>
      </c>
      <c r="F158" s="141">
        <f>SUM(F15,F16,F25,F26,F121,F128,F129,F135,F136,F142,F143,F154,F155,F46)</f>
        <v>68.669999999999987</v>
      </c>
      <c r="G158" s="141">
        <f>SUM(G15,G16,G25,G26,G121,G128,G129,G135,G136,G142,G143,G154,G155,G46)</f>
        <v>68.669999999999987</v>
      </c>
      <c r="H158" s="129"/>
      <c r="I158" s="208"/>
      <c r="J158" s="209" t="s">
        <v>1105</v>
      </c>
      <c r="K158" s="210">
        <f>J157+K157</f>
        <v>714222.00000000023</v>
      </c>
      <c r="L158" s="211"/>
    </row>
    <row r="159" spans="2:14" x14ac:dyDescent="0.25">
      <c r="B159" s="129"/>
      <c r="C159" s="129"/>
      <c r="D159" s="129"/>
      <c r="E159" s="140" t="s">
        <v>1002</v>
      </c>
      <c r="F159" s="31">
        <f>SUM(F39,F43,F110)</f>
        <v>59.478000000000009</v>
      </c>
      <c r="G159" s="31">
        <f>SUM(G39,G43,G110)</f>
        <v>59.478000000000009</v>
      </c>
      <c r="I159" s="194"/>
      <c r="J159" s="186" t="s">
        <v>1106</v>
      </c>
      <c r="K159" s="184">
        <f>SUM(K158/10000)</f>
        <v>71.422200000000018</v>
      </c>
      <c r="L159" s="185" t="s">
        <v>1107</v>
      </c>
      <c r="M159" s="129"/>
    </row>
    <row r="160" spans="2:14" x14ac:dyDescent="0.25">
      <c r="I160" s="194"/>
      <c r="J160" s="186" t="s">
        <v>1125</v>
      </c>
      <c r="K160" s="184">
        <f>K159-(SUM(J112*5*0.1)+(K112*6*0.1))</f>
        <v>52.488700000000016</v>
      </c>
      <c r="L160" s="185" t="s">
        <v>1107</v>
      </c>
    </row>
    <row r="161" spans="5:12" x14ac:dyDescent="0.25">
      <c r="E161" s="110" t="s">
        <v>1033</v>
      </c>
      <c r="F161" s="134">
        <f>F15+F16+F25+F26+F121+F128+F129+F135+F136+F142+F143+F154+F155+F46</f>
        <v>68.669999999999987</v>
      </c>
      <c r="G161" s="134">
        <f>G15+G16+G25+G26+G121+G128+G129+G135+G136+G142+G143+G154+G155+G46</f>
        <v>68.669999999999987</v>
      </c>
      <c r="H161" t="s">
        <v>1035</v>
      </c>
      <c r="I161" s="193"/>
      <c r="J161" s="188" t="s">
        <v>1108</v>
      </c>
      <c r="K161" s="184">
        <v>4</v>
      </c>
      <c r="L161" s="185" t="s">
        <v>1109</v>
      </c>
    </row>
    <row r="162" spans="5:12" x14ac:dyDescent="0.25">
      <c r="E162" s="110" t="s">
        <v>1034</v>
      </c>
      <c r="F162" s="134">
        <f>F156-F161</f>
        <v>59.113000000000028</v>
      </c>
      <c r="G162" s="134">
        <f>G156-G161</f>
        <v>59.113000000000028</v>
      </c>
      <c r="H162" t="s">
        <v>1035</v>
      </c>
      <c r="I162" s="193"/>
      <c r="J162" s="188" t="s">
        <v>1110</v>
      </c>
      <c r="K162" s="184">
        <v>1.8</v>
      </c>
      <c r="L162" s="185" t="s">
        <v>1109</v>
      </c>
    </row>
    <row r="163" spans="5:12" x14ac:dyDescent="0.25">
      <c r="I163" s="192"/>
      <c r="J163" s="188" t="s">
        <v>1111</v>
      </c>
      <c r="K163" s="184">
        <v>300</v>
      </c>
      <c r="L163" s="185" t="s">
        <v>1109</v>
      </c>
    </row>
    <row r="164" spans="5:12" x14ac:dyDescent="0.25">
      <c r="I164" s="192"/>
      <c r="J164" s="189" t="s">
        <v>1115</v>
      </c>
      <c r="K164" s="191">
        <f>K$159*K161</f>
        <v>285.68880000000007</v>
      </c>
      <c r="L164" s="187" t="s">
        <v>1112</v>
      </c>
    </row>
    <row r="165" spans="5:12" x14ac:dyDescent="0.25">
      <c r="I165" s="70"/>
      <c r="J165" s="189" t="s">
        <v>1116</v>
      </c>
      <c r="K165" s="191">
        <f>K160*K162</f>
        <v>94.479660000000024</v>
      </c>
      <c r="L165" s="187" t="s">
        <v>1112</v>
      </c>
    </row>
    <row r="166" spans="5:12" x14ac:dyDescent="0.25">
      <c r="I166" s="70"/>
      <c r="J166" s="190" t="s">
        <v>1113</v>
      </c>
      <c r="K166" s="191">
        <f>K159*K163/1000</f>
        <v>21.426660000000005</v>
      </c>
      <c r="L166" s="187" t="s">
        <v>1114</v>
      </c>
    </row>
  </sheetData>
  <mergeCells count="22">
    <mergeCell ref="D44:D45"/>
    <mergeCell ref="B51:M51"/>
    <mergeCell ref="B2:M2"/>
    <mergeCell ref="B3:H3"/>
    <mergeCell ref="I3:M3"/>
    <mergeCell ref="B4:M4"/>
    <mergeCell ref="B5:D5"/>
    <mergeCell ref="E5:I5"/>
    <mergeCell ref="J5:M5"/>
    <mergeCell ref="B52:H52"/>
    <mergeCell ref="I52:M52"/>
    <mergeCell ref="B53:M53"/>
    <mergeCell ref="B54:D54"/>
    <mergeCell ref="E54:I54"/>
    <mergeCell ref="J54:M54"/>
    <mergeCell ref="B115:M115"/>
    <mergeCell ref="B116:H116"/>
    <mergeCell ref="I116:M116"/>
    <mergeCell ref="B117:M117"/>
    <mergeCell ref="B118:D118"/>
    <mergeCell ref="E118:I118"/>
    <mergeCell ref="J118:M118"/>
  </mergeCells>
  <printOptions horizontalCentered="1"/>
  <pageMargins left="0.23622047244094491" right="0.23622047244094491" top="0.74803149606299213" bottom="0.74803149606299213" header="0.31496062992125984" footer="0.31496062992125984"/>
  <pageSetup paperSize="9" scale="70" fitToHeight="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1:N100"/>
  <sheetViews>
    <sheetView workbookViewId="0">
      <selection activeCell="N15" sqref="N15"/>
    </sheetView>
  </sheetViews>
  <sheetFormatPr defaultRowHeight="15" x14ac:dyDescent="0.25"/>
  <cols>
    <col min="2" max="3" width="12.7109375" customWidth="1"/>
    <col min="4" max="4" width="32.85546875" customWidth="1"/>
    <col min="5" max="5" width="17.7109375" customWidth="1"/>
    <col min="6" max="8" width="10.7109375" customWidth="1"/>
    <col min="9" max="9" width="24.140625" customWidth="1"/>
    <col min="10" max="11" width="10.7109375" customWidth="1"/>
    <col min="12" max="12" width="18.7109375" customWidth="1"/>
    <col min="13" max="13" width="27.7109375" customWidth="1"/>
    <col min="14" max="14" width="15.5703125" customWidth="1"/>
  </cols>
  <sheetData>
    <row r="1" spans="2:14" ht="15.75" thickBot="1" x14ac:dyDescent="0.3"/>
    <row r="2" spans="2:14" ht="19.5" thickBot="1" x14ac:dyDescent="0.3">
      <c r="B2" s="349" t="s">
        <v>18</v>
      </c>
      <c r="C2" s="350"/>
      <c r="D2" s="350"/>
      <c r="E2" s="350"/>
      <c r="F2" s="350"/>
      <c r="G2" s="350"/>
      <c r="H2" s="350"/>
      <c r="I2" s="350"/>
      <c r="J2" s="350"/>
      <c r="K2" s="350"/>
      <c r="L2" s="350"/>
      <c r="M2" s="351"/>
      <c r="N2" s="230"/>
    </row>
    <row r="3" spans="2:14" x14ac:dyDescent="0.25">
      <c r="B3" s="357" t="s">
        <v>19</v>
      </c>
      <c r="C3" s="355"/>
      <c r="D3" s="355"/>
      <c r="E3" s="355"/>
      <c r="F3" s="355"/>
      <c r="G3" s="355"/>
      <c r="H3" s="355"/>
      <c r="I3" s="355" t="s">
        <v>1003</v>
      </c>
      <c r="J3" s="355"/>
      <c r="K3" s="355"/>
      <c r="L3" s="355"/>
      <c r="M3" s="356"/>
      <c r="N3" s="231"/>
    </row>
    <row r="4" spans="2:14" x14ac:dyDescent="0.25">
      <c r="B4" s="352"/>
      <c r="C4" s="353"/>
      <c r="D4" s="353"/>
      <c r="E4" s="353"/>
      <c r="F4" s="353"/>
      <c r="G4" s="353"/>
      <c r="H4" s="353"/>
      <c r="I4" s="353"/>
      <c r="J4" s="353"/>
      <c r="K4" s="353"/>
      <c r="L4" s="353"/>
      <c r="M4" s="354"/>
      <c r="N4" s="232"/>
    </row>
    <row r="5" spans="2:14" ht="15.75" thickBot="1" x14ac:dyDescent="0.3">
      <c r="B5" s="358" t="s">
        <v>25</v>
      </c>
      <c r="C5" s="359"/>
      <c r="D5" s="359"/>
      <c r="E5" s="359" t="s">
        <v>1053</v>
      </c>
      <c r="F5" s="359"/>
      <c r="G5" s="359"/>
      <c r="H5" s="359"/>
      <c r="I5" s="359"/>
      <c r="J5" s="359" t="s">
        <v>94</v>
      </c>
      <c r="K5" s="359"/>
      <c r="L5" s="359"/>
      <c r="M5" s="360"/>
      <c r="N5" s="233"/>
    </row>
    <row r="6" spans="2:14" ht="45"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c r="N6" s="195" t="s">
        <v>1185</v>
      </c>
    </row>
    <row r="7" spans="2:14" x14ac:dyDescent="0.25">
      <c r="B7" s="8"/>
      <c r="C7" s="8"/>
      <c r="D7" s="57" t="s">
        <v>443</v>
      </c>
      <c r="E7" s="8"/>
      <c r="F7" s="82"/>
      <c r="G7" s="135"/>
      <c r="H7" s="8"/>
      <c r="I7" s="8"/>
      <c r="J7" s="8"/>
      <c r="K7" s="8"/>
      <c r="L7" s="8"/>
      <c r="M7" s="9"/>
      <c r="N7" s="234"/>
    </row>
    <row r="8" spans="2:14" x14ac:dyDescent="0.25">
      <c r="B8" s="8"/>
      <c r="C8" s="8"/>
      <c r="D8" s="13" t="s">
        <v>1118</v>
      </c>
      <c r="E8" s="8" t="s">
        <v>444</v>
      </c>
      <c r="F8" s="82">
        <v>0.622</v>
      </c>
      <c r="G8" s="135">
        <v>0.622</v>
      </c>
      <c r="H8" s="155" t="s">
        <v>1004</v>
      </c>
      <c r="I8" s="156" t="s">
        <v>1006</v>
      </c>
      <c r="J8" s="183">
        <v>0.622</v>
      </c>
      <c r="K8" s="183"/>
      <c r="L8" s="8" t="s">
        <v>958</v>
      </c>
      <c r="M8" s="8"/>
      <c r="N8" s="113"/>
    </row>
    <row r="9" spans="2:14" x14ac:dyDescent="0.25">
      <c r="B9" s="8"/>
      <c r="C9" s="8"/>
      <c r="D9" s="13" t="s">
        <v>33</v>
      </c>
      <c r="E9" s="8" t="s">
        <v>445</v>
      </c>
      <c r="F9" s="82">
        <v>0.60699999999999998</v>
      </c>
      <c r="G9" s="135">
        <v>0.60699999999999998</v>
      </c>
      <c r="H9" s="155" t="s">
        <v>1004</v>
      </c>
      <c r="I9" s="156" t="s">
        <v>1006</v>
      </c>
      <c r="J9" s="183">
        <v>0.60699999999999998</v>
      </c>
      <c r="K9" s="183"/>
      <c r="L9" s="8" t="s">
        <v>958</v>
      </c>
      <c r="M9" s="8"/>
      <c r="N9" s="113"/>
    </row>
    <row r="10" spans="2:14" x14ac:dyDescent="0.25">
      <c r="B10" s="8"/>
      <c r="C10" s="8"/>
      <c r="D10" s="13" t="s">
        <v>1122</v>
      </c>
      <c r="E10" s="8" t="s">
        <v>444</v>
      </c>
      <c r="F10" s="82">
        <v>0.622</v>
      </c>
      <c r="G10" s="135">
        <v>0.622</v>
      </c>
      <c r="H10" s="155" t="s">
        <v>1004</v>
      </c>
      <c r="I10" s="156" t="s">
        <v>1006</v>
      </c>
      <c r="J10" s="183">
        <v>0.622</v>
      </c>
      <c r="K10" s="183"/>
      <c r="L10" s="8" t="s">
        <v>958</v>
      </c>
      <c r="M10" s="8"/>
      <c r="N10" s="113"/>
    </row>
    <row r="11" spans="2:14" x14ac:dyDescent="0.25">
      <c r="B11" s="8"/>
      <c r="C11" s="8"/>
      <c r="D11" s="13" t="s">
        <v>446</v>
      </c>
      <c r="E11" s="8" t="s">
        <v>447</v>
      </c>
      <c r="F11" s="82">
        <v>0.84899999999999998</v>
      </c>
      <c r="G11" s="135">
        <v>0.84899999999999998</v>
      </c>
      <c r="H11" s="155" t="s">
        <v>1004</v>
      </c>
      <c r="I11" s="156" t="s">
        <v>1006</v>
      </c>
      <c r="J11" s="183">
        <v>0.84899999999999998</v>
      </c>
      <c r="K11" s="183"/>
      <c r="L11" s="8" t="s">
        <v>958</v>
      </c>
      <c r="M11" s="8"/>
      <c r="N11" s="113"/>
    </row>
    <row r="12" spans="2:14" x14ac:dyDescent="0.25">
      <c r="B12" s="8"/>
      <c r="C12" s="8"/>
      <c r="D12" s="13" t="s">
        <v>448</v>
      </c>
      <c r="E12" s="8" t="s">
        <v>1090</v>
      </c>
      <c r="F12" s="82">
        <v>0.125</v>
      </c>
      <c r="G12" s="179">
        <v>0.125</v>
      </c>
      <c r="H12" s="155" t="s">
        <v>1004</v>
      </c>
      <c r="I12" s="156" t="s">
        <v>1006</v>
      </c>
      <c r="J12" s="183">
        <v>0.125</v>
      </c>
      <c r="K12" s="183"/>
      <c r="L12" s="8" t="s">
        <v>958</v>
      </c>
      <c r="M12" s="8" t="s">
        <v>1089</v>
      </c>
      <c r="N12" s="113"/>
    </row>
    <row r="13" spans="2:14" x14ac:dyDescent="0.25">
      <c r="B13" s="8"/>
      <c r="C13" s="8"/>
      <c r="D13" s="13" t="s">
        <v>148</v>
      </c>
      <c r="E13" s="8"/>
      <c r="F13" s="55">
        <v>0.86899999999999999</v>
      </c>
      <c r="G13" s="55">
        <v>0.86899999999999999</v>
      </c>
      <c r="H13" s="155" t="s">
        <v>1004</v>
      </c>
      <c r="I13" s="156" t="s">
        <v>1006</v>
      </c>
      <c r="J13" s="55">
        <v>0.86899999999999999</v>
      </c>
      <c r="K13" s="183"/>
      <c r="L13" s="8" t="s">
        <v>958</v>
      </c>
      <c r="M13" s="8"/>
      <c r="N13" s="113"/>
    </row>
    <row r="14" spans="2:14" x14ac:dyDescent="0.25">
      <c r="B14" s="8"/>
      <c r="C14" s="8"/>
      <c r="D14" s="13"/>
      <c r="E14" s="82" t="s">
        <v>89</v>
      </c>
      <c r="F14" s="43">
        <f>SUM(F8:F13)</f>
        <v>3.694</v>
      </c>
      <c r="G14" s="43">
        <f>SUM(G8:G13)</f>
        <v>3.694</v>
      </c>
      <c r="H14" s="8"/>
      <c r="I14" s="8"/>
      <c r="J14" s="8"/>
      <c r="K14" s="8"/>
      <c r="L14" s="8"/>
      <c r="M14" s="8"/>
      <c r="N14" s="113"/>
    </row>
    <row r="15" spans="2:14" x14ac:dyDescent="0.25">
      <c r="B15" s="8"/>
      <c r="C15" s="8"/>
      <c r="D15" s="34" t="s">
        <v>449</v>
      </c>
      <c r="E15" s="8" t="s">
        <v>450</v>
      </c>
      <c r="F15" s="52">
        <f>2*4.639</f>
        <v>9.2780000000000005</v>
      </c>
      <c r="G15" s="52">
        <f>2*4.639</f>
        <v>9.2780000000000005</v>
      </c>
      <c r="H15" s="155" t="s">
        <v>1004</v>
      </c>
      <c r="I15" s="156" t="s">
        <v>1006</v>
      </c>
      <c r="J15" s="163"/>
      <c r="K15" s="55">
        <f>2*4.639</f>
        <v>9.2780000000000005</v>
      </c>
      <c r="L15" s="8" t="s">
        <v>996</v>
      </c>
      <c r="M15" s="122" t="s">
        <v>1016</v>
      </c>
      <c r="N15" s="113"/>
    </row>
    <row r="16" spans="2:14" x14ac:dyDescent="0.25">
      <c r="B16" s="8"/>
      <c r="C16" s="8"/>
      <c r="D16" s="57" t="s">
        <v>451</v>
      </c>
      <c r="E16" s="8"/>
      <c r="F16" s="8"/>
      <c r="G16" s="8"/>
      <c r="H16" s="8"/>
      <c r="I16" s="8"/>
      <c r="J16" s="8"/>
      <c r="K16" s="123"/>
      <c r="L16" s="8"/>
      <c r="M16" s="8"/>
      <c r="N16" s="113"/>
    </row>
    <row r="17" spans="2:14" x14ac:dyDescent="0.25">
      <c r="B17" s="8"/>
      <c r="C17" s="8"/>
      <c r="D17" s="13" t="s">
        <v>1121</v>
      </c>
      <c r="E17" s="8" t="s">
        <v>452</v>
      </c>
      <c r="F17" s="85">
        <v>0.77600000000000002</v>
      </c>
      <c r="G17" s="135">
        <v>0.77600000000000002</v>
      </c>
      <c r="H17" s="155">
        <v>2</v>
      </c>
      <c r="I17" s="156" t="s">
        <v>1005</v>
      </c>
      <c r="J17" s="183">
        <v>0.77600000000000002</v>
      </c>
      <c r="K17" s="55"/>
      <c r="L17" s="8" t="s">
        <v>957</v>
      </c>
      <c r="M17" s="8"/>
      <c r="N17" s="113"/>
    </row>
    <row r="18" spans="2:14" x14ac:dyDescent="0.25">
      <c r="B18" s="8"/>
      <c r="C18" s="8"/>
      <c r="D18" s="13" t="s">
        <v>33</v>
      </c>
      <c r="E18" s="8" t="s">
        <v>453</v>
      </c>
      <c r="F18" s="85">
        <v>0.58499999999999996</v>
      </c>
      <c r="G18" s="135">
        <v>0.58499999999999996</v>
      </c>
      <c r="H18" s="155">
        <v>2</v>
      </c>
      <c r="I18" s="156" t="s">
        <v>1005</v>
      </c>
      <c r="J18" s="183">
        <v>0.58499999999999996</v>
      </c>
      <c r="K18" s="55"/>
      <c r="L18" s="8" t="s">
        <v>957</v>
      </c>
      <c r="M18" s="8"/>
      <c r="N18" s="113"/>
    </row>
    <row r="19" spans="2:14" x14ac:dyDescent="0.25">
      <c r="B19" s="8"/>
      <c r="C19" s="8"/>
      <c r="D19" s="13" t="s">
        <v>455</v>
      </c>
      <c r="E19" s="8" t="s">
        <v>454</v>
      </c>
      <c r="F19" s="85">
        <v>0.58699999999999997</v>
      </c>
      <c r="G19" s="135">
        <v>0.58699999999999997</v>
      </c>
      <c r="H19" s="155">
        <v>2</v>
      </c>
      <c r="I19" s="156" t="s">
        <v>1005</v>
      </c>
      <c r="J19" s="183">
        <v>0.58699999999999997</v>
      </c>
      <c r="K19" s="55"/>
      <c r="L19" s="8" t="s">
        <v>957</v>
      </c>
      <c r="M19" s="8"/>
      <c r="N19" s="113"/>
    </row>
    <row r="20" spans="2:14" x14ac:dyDescent="0.25">
      <c r="B20" s="8"/>
      <c r="C20" s="8"/>
      <c r="D20" s="13" t="s">
        <v>37</v>
      </c>
      <c r="E20" s="8" t="s">
        <v>456</v>
      </c>
      <c r="F20" s="85">
        <v>0.38500000000000001</v>
      </c>
      <c r="G20" s="135">
        <v>0.38500000000000001</v>
      </c>
      <c r="H20" s="155">
        <v>2</v>
      </c>
      <c r="I20" s="156" t="s">
        <v>1005</v>
      </c>
      <c r="J20" s="183">
        <v>0.38500000000000001</v>
      </c>
      <c r="K20" s="55"/>
      <c r="L20" s="8" t="s">
        <v>957</v>
      </c>
      <c r="M20" s="8"/>
      <c r="N20" s="113"/>
    </row>
    <row r="21" spans="2:14" x14ac:dyDescent="0.25">
      <c r="B21" s="8"/>
      <c r="C21" s="8"/>
      <c r="D21" s="13" t="s">
        <v>1122</v>
      </c>
      <c r="E21" s="8" t="s">
        <v>457</v>
      </c>
      <c r="F21" s="85">
        <v>0.77600000000000002</v>
      </c>
      <c r="G21" s="135">
        <v>0.77600000000000002</v>
      </c>
      <c r="H21" s="155">
        <v>2</v>
      </c>
      <c r="I21" s="156" t="s">
        <v>1005</v>
      </c>
      <c r="J21" s="183">
        <v>0.77600000000000002</v>
      </c>
      <c r="K21" s="55"/>
      <c r="L21" s="8" t="s">
        <v>957</v>
      </c>
      <c r="M21" s="8"/>
      <c r="N21" s="113"/>
    </row>
    <row r="22" spans="2:14" x14ac:dyDescent="0.25">
      <c r="B22" s="8"/>
      <c r="C22" s="8"/>
      <c r="D22" s="13" t="s">
        <v>35</v>
      </c>
      <c r="E22" s="8" t="s">
        <v>458</v>
      </c>
      <c r="F22" s="85">
        <v>0.60299999999999998</v>
      </c>
      <c r="G22" s="135">
        <v>0.60299999999999998</v>
      </c>
      <c r="H22" s="155">
        <v>2</v>
      </c>
      <c r="I22" s="156" t="s">
        <v>1005</v>
      </c>
      <c r="J22" s="183">
        <v>0.60299999999999998</v>
      </c>
      <c r="K22" s="55"/>
      <c r="L22" s="8" t="s">
        <v>957</v>
      </c>
      <c r="M22" s="8"/>
      <c r="N22" s="113"/>
    </row>
    <row r="23" spans="2:14" x14ac:dyDescent="0.25">
      <c r="B23" s="8"/>
      <c r="C23" s="8"/>
      <c r="D23" s="13" t="s">
        <v>148</v>
      </c>
      <c r="E23" s="8"/>
      <c r="F23" s="55">
        <v>0.995</v>
      </c>
      <c r="G23" s="55">
        <v>0.995</v>
      </c>
      <c r="H23" s="155">
        <v>2</v>
      </c>
      <c r="I23" s="156" t="s">
        <v>1005</v>
      </c>
      <c r="J23" s="55">
        <v>0.995</v>
      </c>
      <c r="K23" s="55"/>
      <c r="L23" s="8" t="s">
        <v>957</v>
      </c>
      <c r="M23" s="8"/>
      <c r="N23" s="113"/>
    </row>
    <row r="24" spans="2:14" x14ac:dyDescent="0.25">
      <c r="B24" s="8"/>
      <c r="C24" s="8"/>
      <c r="D24" s="13"/>
      <c r="E24" s="85" t="s">
        <v>89</v>
      </c>
      <c r="F24" s="43">
        <f>SUM(F17:F23)</f>
        <v>4.7069999999999999</v>
      </c>
      <c r="G24" s="43">
        <f>SUM(G17:G23)</f>
        <v>4.7069999999999999</v>
      </c>
      <c r="H24" s="8"/>
      <c r="I24" s="8"/>
      <c r="J24" s="8"/>
      <c r="K24" s="123"/>
      <c r="L24" s="8"/>
      <c r="M24" s="8"/>
      <c r="N24" s="113"/>
    </row>
    <row r="25" spans="2:14" x14ac:dyDescent="0.25">
      <c r="B25" s="8"/>
      <c r="C25" s="8"/>
      <c r="D25" s="34" t="s">
        <v>459</v>
      </c>
      <c r="E25" s="8" t="s">
        <v>460</v>
      </c>
      <c r="F25" s="52">
        <f>2*5.512</f>
        <v>11.023999999999999</v>
      </c>
      <c r="G25" s="52">
        <f>2*5.512</f>
        <v>11.023999999999999</v>
      </c>
      <c r="H25" s="155">
        <v>2</v>
      </c>
      <c r="I25" s="156" t="s">
        <v>1005</v>
      </c>
      <c r="J25" s="163"/>
      <c r="K25" s="55">
        <f>2*5.512</f>
        <v>11.023999999999999</v>
      </c>
      <c r="L25" s="8" t="s">
        <v>957</v>
      </c>
      <c r="M25" s="122" t="s">
        <v>1017</v>
      </c>
      <c r="N25" s="113"/>
    </row>
    <row r="26" spans="2:14" x14ac:dyDescent="0.25">
      <c r="B26" s="8"/>
      <c r="C26" s="8"/>
      <c r="D26" s="57" t="s">
        <v>461</v>
      </c>
      <c r="E26" s="8"/>
      <c r="F26" s="8"/>
      <c r="G26" s="8"/>
      <c r="H26" s="8"/>
      <c r="I26" s="8"/>
      <c r="J26" s="8"/>
      <c r="K26" s="123"/>
      <c r="L26" s="8"/>
      <c r="M26" s="8"/>
      <c r="N26" s="113"/>
    </row>
    <row r="27" spans="2:14" x14ac:dyDescent="0.25">
      <c r="B27" s="8"/>
      <c r="C27" s="8"/>
      <c r="D27" s="13" t="s">
        <v>1118</v>
      </c>
      <c r="E27" s="8" t="s">
        <v>462</v>
      </c>
      <c r="F27" s="85">
        <v>0.60199999999999998</v>
      </c>
      <c r="G27" s="135">
        <v>0.60199999999999998</v>
      </c>
      <c r="H27" s="155">
        <v>2</v>
      </c>
      <c r="I27" s="156" t="s">
        <v>1005</v>
      </c>
      <c r="J27" s="183">
        <v>0.60199999999999998</v>
      </c>
      <c r="K27" s="55"/>
      <c r="L27" s="8" t="s">
        <v>957</v>
      </c>
      <c r="M27" s="8"/>
      <c r="N27" s="113"/>
    </row>
    <row r="28" spans="2:14" x14ac:dyDescent="0.25">
      <c r="B28" s="8"/>
      <c r="C28" s="8"/>
      <c r="D28" s="13" t="s">
        <v>464</v>
      </c>
      <c r="E28" s="8" t="s">
        <v>463</v>
      </c>
      <c r="F28" s="85">
        <v>0.51200000000000001</v>
      </c>
      <c r="G28" s="135">
        <v>0.51200000000000001</v>
      </c>
      <c r="H28" s="155">
        <v>2</v>
      </c>
      <c r="I28" s="156" t="s">
        <v>1005</v>
      </c>
      <c r="J28" s="183">
        <v>0.51200000000000001</v>
      </c>
      <c r="K28" s="55"/>
      <c r="L28" s="8" t="s">
        <v>957</v>
      </c>
      <c r="M28" s="8"/>
      <c r="N28" s="113"/>
    </row>
    <row r="29" spans="2:14" x14ac:dyDescent="0.25">
      <c r="B29" s="8"/>
      <c r="C29" s="8"/>
      <c r="D29" s="13" t="s">
        <v>34</v>
      </c>
      <c r="E29" s="8" t="s">
        <v>465</v>
      </c>
      <c r="F29" s="85">
        <v>0.32400000000000001</v>
      </c>
      <c r="G29" s="135">
        <v>0.32400000000000001</v>
      </c>
      <c r="H29" s="155">
        <v>2</v>
      </c>
      <c r="I29" s="156" t="s">
        <v>1005</v>
      </c>
      <c r="J29" s="183">
        <v>0.32400000000000001</v>
      </c>
      <c r="K29" s="55"/>
      <c r="L29" s="8" t="s">
        <v>957</v>
      </c>
      <c r="M29" s="8"/>
      <c r="N29" s="113"/>
    </row>
    <row r="30" spans="2:14" x14ac:dyDescent="0.25">
      <c r="B30" s="8"/>
      <c r="C30" s="8"/>
      <c r="D30" s="13" t="s">
        <v>1122</v>
      </c>
      <c r="E30" s="8" t="s">
        <v>462</v>
      </c>
      <c r="F30" s="85">
        <v>0.60199999999999998</v>
      </c>
      <c r="G30" s="135">
        <v>0.60199999999999998</v>
      </c>
      <c r="H30" s="155">
        <v>2</v>
      </c>
      <c r="I30" s="156" t="s">
        <v>1005</v>
      </c>
      <c r="J30" s="183">
        <v>0.60199999999999998</v>
      </c>
      <c r="K30" s="55"/>
      <c r="L30" s="8" t="s">
        <v>957</v>
      </c>
      <c r="M30" s="8"/>
      <c r="N30" s="113"/>
    </row>
    <row r="31" spans="2:14" x14ac:dyDescent="0.25">
      <c r="B31" s="8"/>
      <c r="C31" s="8"/>
      <c r="D31" s="13" t="s">
        <v>35</v>
      </c>
      <c r="E31" s="8" t="s">
        <v>466</v>
      </c>
      <c r="F31" s="85">
        <v>0.58899999999999997</v>
      </c>
      <c r="G31" s="135">
        <v>0.58899999999999997</v>
      </c>
      <c r="H31" s="155">
        <v>2</v>
      </c>
      <c r="I31" s="156" t="s">
        <v>1005</v>
      </c>
      <c r="J31" s="183">
        <v>0.58899999999999997</v>
      </c>
      <c r="K31" s="55"/>
      <c r="L31" s="8" t="s">
        <v>957</v>
      </c>
      <c r="M31" s="8"/>
      <c r="N31" s="113"/>
    </row>
    <row r="32" spans="2:14" x14ac:dyDescent="0.25">
      <c r="B32" s="8"/>
      <c r="C32" s="8"/>
      <c r="D32" s="13" t="s">
        <v>148</v>
      </c>
      <c r="E32" s="8"/>
      <c r="F32" s="55">
        <v>0.81499999999999995</v>
      </c>
      <c r="G32" s="55">
        <v>0.81499999999999995</v>
      </c>
      <c r="H32" s="155">
        <v>2</v>
      </c>
      <c r="I32" s="156" t="s">
        <v>1005</v>
      </c>
      <c r="J32" s="55">
        <v>0.81499999999999995</v>
      </c>
      <c r="K32" s="55"/>
      <c r="L32" s="8" t="s">
        <v>957</v>
      </c>
      <c r="M32" s="8"/>
      <c r="N32" s="113"/>
    </row>
    <row r="33" spans="2:14" x14ac:dyDescent="0.25">
      <c r="B33" s="8"/>
      <c r="C33" s="8"/>
      <c r="D33" s="13"/>
      <c r="E33" s="85" t="s">
        <v>89</v>
      </c>
      <c r="F33" s="43">
        <f>SUM(F27:F32)</f>
        <v>3.444</v>
      </c>
      <c r="G33" s="43">
        <f>SUM(G27:G32)</f>
        <v>3.444</v>
      </c>
      <c r="H33" s="8"/>
      <c r="I33" s="8"/>
      <c r="J33" s="8"/>
      <c r="K33" s="123"/>
      <c r="L33" s="8"/>
      <c r="M33" s="8"/>
      <c r="N33" s="113"/>
    </row>
    <row r="34" spans="2:14" x14ac:dyDescent="0.25">
      <c r="B34" s="8"/>
      <c r="C34" s="8"/>
      <c r="D34" s="34" t="s">
        <v>467</v>
      </c>
      <c r="E34" s="8" t="s">
        <v>468</v>
      </c>
      <c r="F34" s="43">
        <f>2*5.118</f>
        <v>10.236000000000001</v>
      </c>
      <c r="G34" s="43">
        <f>2*5.118</f>
        <v>10.236000000000001</v>
      </c>
      <c r="H34" s="155" t="s">
        <v>1004</v>
      </c>
      <c r="I34" s="156" t="s">
        <v>1006</v>
      </c>
      <c r="J34" s="163"/>
      <c r="K34" s="46">
        <f>2*5.118</f>
        <v>10.236000000000001</v>
      </c>
      <c r="L34" s="8" t="s">
        <v>996</v>
      </c>
      <c r="M34" s="122" t="s">
        <v>1018</v>
      </c>
      <c r="N34" s="9"/>
    </row>
    <row r="35" spans="2:14" x14ac:dyDescent="0.25">
      <c r="B35" s="11"/>
      <c r="C35" s="11"/>
      <c r="D35" s="106"/>
      <c r="E35" s="11"/>
      <c r="F35" s="152"/>
      <c r="G35" s="152"/>
      <c r="H35" s="151"/>
      <c r="I35" s="171"/>
      <c r="J35" s="151"/>
      <c r="K35" s="151"/>
      <c r="L35" s="11"/>
      <c r="M35" s="172"/>
    </row>
    <row r="36" spans="2:14" x14ac:dyDescent="0.25">
      <c r="B36" s="129" t="s">
        <v>30</v>
      </c>
      <c r="C36" s="129"/>
      <c r="D36" s="129"/>
      <c r="E36" s="110"/>
      <c r="F36" s="141"/>
      <c r="G36" s="141"/>
      <c r="H36" s="129"/>
      <c r="I36" s="23" t="s">
        <v>1183</v>
      </c>
      <c r="J36" s="141">
        <f>SUM(J8:J13,K15,K34,J45:J52,K81)</f>
        <v>46.115000000000002</v>
      </c>
      <c r="K36" s="129"/>
      <c r="L36" s="129"/>
      <c r="M36" s="129"/>
    </row>
    <row r="37" spans="2:14" x14ac:dyDescent="0.25">
      <c r="E37" s="140"/>
      <c r="F37" s="31"/>
      <c r="G37" s="31"/>
    </row>
    <row r="38" spans="2:14" ht="15.75" thickBot="1" x14ac:dyDescent="0.3"/>
    <row r="39" spans="2:14" ht="19.5" thickBot="1" x14ac:dyDescent="0.3">
      <c r="B39" s="365" t="s">
        <v>18</v>
      </c>
      <c r="C39" s="366"/>
      <c r="D39" s="366"/>
      <c r="E39" s="366"/>
      <c r="F39" s="366"/>
      <c r="G39" s="366"/>
      <c r="H39" s="366"/>
      <c r="I39" s="366"/>
      <c r="J39" s="366"/>
      <c r="K39" s="366"/>
      <c r="L39" s="366"/>
      <c r="M39" s="367"/>
      <c r="N39" s="230"/>
    </row>
    <row r="40" spans="2:14" x14ac:dyDescent="0.25">
      <c r="B40" s="368" t="s">
        <v>19</v>
      </c>
      <c r="C40" s="369"/>
      <c r="D40" s="369"/>
      <c r="E40" s="369"/>
      <c r="F40" s="369"/>
      <c r="G40" s="369"/>
      <c r="H40" s="370"/>
      <c r="I40" s="371" t="s">
        <v>1003</v>
      </c>
      <c r="J40" s="369"/>
      <c r="K40" s="369"/>
      <c r="L40" s="369"/>
      <c r="M40" s="372"/>
      <c r="N40" s="231"/>
    </row>
    <row r="41" spans="2:14" x14ac:dyDescent="0.25">
      <c r="B41" s="373"/>
      <c r="C41" s="374"/>
      <c r="D41" s="374"/>
      <c r="E41" s="374"/>
      <c r="F41" s="374"/>
      <c r="G41" s="374"/>
      <c r="H41" s="374"/>
      <c r="I41" s="374"/>
      <c r="J41" s="374"/>
      <c r="K41" s="374"/>
      <c r="L41" s="374"/>
      <c r="M41" s="375"/>
      <c r="N41" s="232"/>
    </row>
    <row r="42" spans="2:14" ht="15.75" thickBot="1" x14ac:dyDescent="0.3">
      <c r="B42" s="376" t="s">
        <v>26</v>
      </c>
      <c r="C42" s="377"/>
      <c r="D42" s="378"/>
      <c r="E42" s="379" t="s">
        <v>1054</v>
      </c>
      <c r="F42" s="377"/>
      <c r="G42" s="377"/>
      <c r="H42" s="377"/>
      <c r="I42" s="378"/>
      <c r="J42" s="379" t="s">
        <v>1055</v>
      </c>
      <c r="K42" s="377"/>
      <c r="L42" s="377"/>
      <c r="M42" s="380"/>
      <c r="N42" s="233"/>
    </row>
    <row r="43" spans="2:14" ht="30" customHeight="1" thickBot="1" x14ac:dyDescent="0.3">
      <c r="B43" s="18" t="s">
        <v>12</v>
      </c>
      <c r="C43" s="19" t="s">
        <v>13</v>
      </c>
      <c r="D43" s="19" t="s">
        <v>63</v>
      </c>
      <c r="E43" s="19" t="s">
        <v>64</v>
      </c>
      <c r="F43" s="137" t="s">
        <v>998</v>
      </c>
      <c r="G43" s="137" t="s">
        <v>999</v>
      </c>
      <c r="H43" s="19" t="s">
        <v>14</v>
      </c>
      <c r="I43" s="19" t="s">
        <v>15</v>
      </c>
      <c r="J43" s="19" t="s">
        <v>1102</v>
      </c>
      <c r="K43" s="19" t="s">
        <v>1103</v>
      </c>
      <c r="L43" s="19" t="s">
        <v>16</v>
      </c>
      <c r="M43" s="20" t="s">
        <v>17</v>
      </c>
      <c r="N43" s="195" t="s">
        <v>1185</v>
      </c>
    </row>
    <row r="44" spans="2:14" x14ac:dyDescent="0.25">
      <c r="B44" s="9"/>
      <c r="C44" s="9"/>
      <c r="D44" s="72" t="s">
        <v>469</v>
      </c>
      <c r="E44" s="9"/>
      <c r="F44" s="9"/>
      <c r="G44" s="9"/>
      <c r="H44" s="9"/>
      <c r="I44" s="9"/>
      <c r="J44" s="9"/>
      <c r="K44" s="9"/>
      <c r="L44" s="9"/>
      <c r="M44" s="9"/>
      <c r="N44" s="234"/>
    </row>
    <row r="45" spans="2:14" x14ac:dyDescent="0.25">
      <c r="B45" s="8"/>
      <c r="C45" s="8"/>
      <c r="D45" s="13" t="s">
        <v>1118</v>
      </c>
      <c r="E45" s="8" t="s">
        <v>470</v>
      </c>
      <c r="F45" s="85">
        <v>0.68400000000000005</v>
      </c>
      <c r="G45" s="135">
        <v>0.68400000000000005</v>
      </c>
      <c r="H45" s="155" t="s">
        <v>1004</v>
      </c>
      <c r="I45" s="156" t="s">
        <v>1006</v>
      </c>
      <c r="J45" s="183">
        <v>0.68400000000000005</v>
      </c>
      <c r="K45" s="183"/>
      <c r="L45" s="8" t="s">
        <v>958</v>
      </c>
      <c r="M45" s="8"/>
      <c r="N45" s="113"/>
    </row>
    <row r="46" spans="2:14" x14ac:dyDescent="0.25">
      <c r="B46" s="8"/>
      <c r="C46" s="8"/>
      <c r="D46" s="13" t="s">
        <v>33</v>
      </c>
      <c r="E46" s="8" t="s">
        <v>471</v>
      </c>
      <c r="F46" s="51">
        <v>0.59</v>
      </c>
      <c r="G46" s="51">
        <v>0.59</v>
      </c>
      <c r="H46" s="155" t="s">
        <v>1004</v>
      </c>
      <c r="I46" s="156" t="s">
        <v>1006</v>
      </c>
      <c r="J46" s="51">
        <v>0.59</v>
      </c>
      <c r="K46" s="183"/>
      <c r="L46" s="8" t="s">
        <v>958</v>
      </c>
      <c r="M46" s="8"/>
      <c r="N46" s="113"/>
    </row>
    <row r="47" spans="2:14" x14ac:dyDescent="0.25">
      <c r="B47" s="8"/>
      <c r="C47" s="8"/>
      <c r="D47" s="13" t="s">
        <v>473</v>
      </c>
      <c r="E47" s="8" t="s">
        <v>472</v>
      </c>
      <c r="F47" s="85">
        <v>0.41099999999999998</v>
      </c>
      <c r="G47" s="135">
        <v>0.41099999999999998</v>
      </c>
      <c r="H47" s="155" t="s">
        <v>1004</v>
      </c>
      <c r="I47" s="156" t="s">
        <v>1006</v>
      </c>
      <c r="J47" s="183">
        <v>0.41099999999999998</v>
      </c>
      <c r="K47" s="183"/>
      <c r="L47" s="8" t="s">
        <v>958</v>
      </c>
      <c r="M47" s="8"/>
      <c r="N47" s="113"/>
    </row>
    <row r="48" spans="2:14" x14ac:dyDescent="0.25">
      <c r="B48" s="8"/>
      <c r="C48" s="8"/>
      <c r="D48" s="13" t="s">
        <v>488</v>
      </c>
      <c r="E48" s="34" t="s">
        <v>487</v>
      </c>
      <c r="F48" s="88">
        <v>8.9999999999999993E-3</v>
      </c>
      <c r="G48" s="88">
        <v>8.9999999999999993E-3</v>
      </c>
      <c r="H48" s="155" t="s">
        <v>1004</v>
      </c>
      <c r="I48" s="156" t="s">
        <v>1006</v>
      </c>
      <c r="J48" s="88">
        <v>8.9999999999999993E-3</v>
      </c>
      <c r="K48" s="183"/>
      <c r="L48" s="8" t="s">
        <v>958</v>
      </c>
      <c r="M48" s="8"/>
      <c r="N48" s="113"/>
    </row>
    <row r="49" spans="2:14" x14ac:dyDescent="0.25">
      <c r="B49" s="8"/>
      <c r="C49" s="8"/>
      <c r="D49" s="13" t="s">
        <v>474</v>
      </c>
      <c r="E49" s="8" t="s">
        <v>475</v>
      </c>
      <c r="F49" s="85">
        <v>0.34200000000000003</v>
      </c>
      <c r="G49" s="135">
        <v>0.34200000000000003</v>
      </c>
      <c r="H49" s="155" t="s">
        <v>1004</v>
      </c>
      <c r="I49" s="156" t="s">
        <v>1006</v>
      </c>
      <c r="J49" s="183">
        <v>0.34200000000000003</v>
      </c>
      <c r="K49" s="183"/>
      <c r="L49" s="8" t="s">
        <v>958</v>
      </c>
      <c r="M49" s="8"/>
      <c r="N49" s="113"/>
    </row>
    <row r="50" spans="2:14" x14ac:dyDescent="0.25">
      <c r="B50" s="8"/>
      <c r="C50" s="8"/>
      <c r="D50" s="13" t="s">
        <v>1124</v>
      </c>
      <c r="E50" s="8" t="s">
        <v>470</v>
      </c>
      <c r="F50" s="85">
        <v>0.68400000000000005</v>
      </c>
      <c r="G50" s="135">
        <v>0.68400000000000005</v>
      </c>
      <c r="H50" s="155" t="s">
        <v>1004</v>
      </c>
      <c r="I50" s="156" t="s">
        <v>1006</v>
      </c>
      <c r="J50" s="183">
        <v>0.68400000000000005</v>
      </c>
      <c r="K50" s="183"/>
      <c r="L50" s="8" t="s">
        <v>958</v>
      </c>
      <c r="M50" s="8"/>
      <c r="N50" s="113"/>
    </row>
    <row r="51" spans="2:14" x14ac:dyDescent="0.25">
      <c r="B51" s="8"/>
      <c r="C51" s="8"/>
      <c r="D51" s="13" t="s">
        <v>35</v>
      </c>
      <c r="E51" s="8" t="s">
        <v>476</v>
      </c>
      <c r="F51" s="85">
        <v>0.65600000000000003</v>
      </c>
      <c r="G51" s="135">
        <v>0.65600000000000003</v>
      </c>
      <c r="H51" s="155" t="s">
        <v>1004</v>
      </c>
      <c r="I51" s="156" t="s">
        <v>1006</v>
      </c>
      <c r="J51" s="183">
        <v>0.65600000000000003</v>
      </c>
      <c r="K51" s="183"/>
      <c r="L51" s="8" t="s">
        <v>958</v>
      </c>
      <c r="M51" s="8"/>
      <c r="N51" s="113"/>
    </row>
    <row r="52" spans="2:14" x14ac:dyDescent="0.25">
      <c r="B52" s="8"/>
      <c r="C52" s="8"/>
      <c r="D52" s="13" t="s">
        <v>148</v>
      </c>
      <c r="E52" s="8"/>
      <c r="F52" s="55">
        <v>1.0169999999999999</v>
      </c>
      <c r="G52" s="55">
        <v>1.0169999999999999</v>
      </c>
      <c r="H52" s="155" t="s">
        <v>1004</v>
      </c>
      <c r="I52" s="156" t="s">
        <v>1006</v>
      </c>
      <c r="J52" s="55">
        <v>1.0169999999999999</v>
      </c>
      <c r="K52" s="183"/>
      <c r="L52" s="8" t="s">
        <v>958</v>
      </c>
      <c r="M52" s="8"/>
      <c r="N52" s="113"/>
    </row>
    <row r="53" spans="2:14" x14ac:dyDescent="0.25">
      <c r="B53" s="8"/>
      <c r="C53" s="8"/>
      <c r="D53" s="13"/>
      <c r="E53" s="85" t="s">
        <v>89</v>
      </c>
      <c r="F53" s="43">
        <f>SUM(F45:F52)</f>
        <v>4.3930000000000007</v>
      </c>
      <c r="G53" s="43">
        <f>SUM(G45:G52)</f>
        <v>4.3930000000000007</v>
      </c>
      <c r="H53" s="8"/>
      <c r="I53" s="8"/>
      <c r="J53" s="8"/>
      <c r="K53" s="8"/>
      <c r="L53" s="8"/>
      <c r="M53" s="8"/>
      <c r="N53" s="113"/>
    </row>
    <row r="54" spans="2:14" x14ac:dyDescent="0.25">
      <c r="B54" s="8"/>
      <c r="C54" s="8"/>
      <c r="D54" s="34" t="s">
        <v>477</v>
      </c>
      <c r="E54" s="8" t="s">
        <v>478</v>
      </c>
      <c r="F54" s="52">
        <f>2*7.762</f>
        <v>15.523999999999999</v>
      </c>
      <c r="G54" s="52">
        <f>2*7.762</f>
        <v>15.523999999999999</v>
      </c>
      <c r="H54" s="155">
        <v>2</v>
      </c>
      <c r="I54" s="156" t="s">
        <v>1005</v>
      </c>
      <c r="J54" s="163"/>
      <c r="K54" s="55">
        <f>2*7.762</f>
        <v>15.523999999999999</v>
      </c>
      <c r="L54" s="8" t="s">
        <v>957</v>
      </c>
      <c r="M54" s="122" t="s">
        <v>1019</v>
      </c>
      <c r="N54" s="113"/>
    </row>
    <row r="55" spans="2:14" x14ac:dyDescent="0.25">
      <c r="B55" s="8"/>
      <c r="C55" s="8"/>
      <c r="D55" s="57" t="s">
        <v>479</v>
      </c>
      <c r="E55" s="8"/>
      <c r="F55" s="8"/>
      <c r="G55" s="8"/>
      <c r="H55" s="8"/>
      <c r="I55" s="8"/>
      <c r="J55" s="8"/>
      <c r="K55" s="123"/>
      <c r="L55" s="8"/>
      <c r="M55" s="8"/>
      <c r="N55" s="113"/>
    </row>
    <row r="56" spans="2:14" x14ac:dyDescent="0.25">
      <c r="B56" s="8"/>
      <c r="C56" s="8"/>
      <c r="D56" s="13" t="s">
        <v>1118</v>
      </c>
      <c r="E56" s="8" t="s">
        <v>480</v>
      </c>
      <c r="F56" s="85">
        <v>0.80900000000000005</v>
      </c>
      <c r="G56" s="135">
        <v>0.80900000000000005</v>
      </c>
      <c r="H56" s="155">
        <v>2</v>
      </c>
      <c r="I56" s="156" t="s">
        <v>1005</v>
      </c>
      <c r="J56" s="183">
        <v>0.80900000000000005</v>
      </c>
      <c r="K56" s="55"/>
      <c r="L56" s="8" t="s">
        <v>957</v>
      </c>
      <c r="M56" s="8"/>
      <c r="N56" s="113"/>
    </row>
    <row r="57" spans="2:14" x14ac:dyDescent="0.25">
      <c r="B57" s="8"/>
      <c r="C57" s="8"/>
      <c r="D57" s="13" t="s">
        <v>33</v>
      </c>
      <c r="E57" s="8" t="s">
        <v>481</v>
      </c>
      <c r="F57" s="85">
        <v>0.70599999999999996</v>
      </c>
      <c r="G57" s="135">
        <v>0.70599999999999996</v>
      </c>
      <c r="H57" s="155">
        <v>2</v>
      </c>
      <c r="I57" s="156" t="s">
        <v>1005</v>
      </c>
      <c r="J57" s="183">
        <v>0.70599999999999996</v>
      </c>
      <c r="K57" s="55"/>
      <c r="L57" s="8" t="s">
        <v>957</v>
      </c>
      <c r="M57" s="8"/>
      <c r="N57" s="113"/>
    </row>
    <row r="58" spans="2:14" x14ac:dyDescent="0.25">
      <c r="B58" s="8"/>
      <c r="C58" s="8"/>
      <c r="D58" s="13" t="s">
        <v>482</v>
      </c>
      <c r="E58" s="8" t="s">
        <v>483</v>
      </c>
      <c r="F58" s="85">
        <v>0.59599999999999997</v>
      </c>
      <c r="G58" s="135">
        <v>0.59599999999999997</v>
      </c>
      <c r="H58" s="155">
        <v>2</v>
      </c>
      <c r="I58" s="156" t="s">
        <v>1005</v>
      </c>
      <c r="J58" s="183">
        <v>0.59599999999999997</v>
      </c>
      <c r="K58" s="55"/>
      <c r="L58" s="8" t="s">
        <v>957</v>
      </c>
      <c r="M58" s="8"/>
      <c r="N58" s="113"/>
    </row>
    <row r="59" spans="2:14" x14ac:dyDescent="0.25">
      <c r="B59" s="8"/>
      <c r="C59" s="8"/>
      <c r="D59" s="13" t="s">
        <v>489</v>
      </c>
      <c r="E59" s="8" t="s">
        <v>490</v>
      </c>
      <c r="F59" s="85">
        <v>0.41699999999999998</v>
      </c>
      <c r="G59" s="135">
        <v>0.41699999999999998</v>
      </c>
      <c r="H59" s="155">
        <v>2</v>
      </c>
      <c r="I59" s="156" t="s">
        <v>1005</v>
      </c>
      <c r="J59" s="183">
        <v>0.41699999999999998</v>
      </c>
      <c r="K59" s="55"/>
      <c r="L59" s="8" t="s">
        <v>957</v>
      </c>
      <c r="M59" s="8"/>
      <c r="N59" s="113"/>
    </row>
    <row r="60" spans="2:14" x14ac:dyDescent="0.25">
      <c r="B60" s="8"/>
      <c r="C60" s="8"/>
      <c r="D60" s="13" t="s">
        <v>39</v>
      </c>
      <c r="E60" s="8" t="s">
        <v>491</v>
      </c>
      <c r="F60" s="51">
        <v>0.22</v>
      </c>
      <c r="G60" s="51">
        <v>0.22</v>
      </c>
      <c r="H60" s="155">
        <v>2</v>
      </c>
      <c r="I60" s="156" t="s">
        <v>1005</v>
      </c>
      <c r="J60" s="51">
        <v>0.22</v>
      </c>
      <c r="K60" s="55"/>
      <c r="L60" s="8" t="s">
        <v>957</v>
      </c>
      <c r="M60" s="8"/>
      <c r="N60" s="113"/>
    </row>
    <row r="61" spans="2:14" x14ac:dyDescent="0.25">
      <c r="B61" s="8"/>
      <c r="C61" s="8"/>
      <c r="D61" s="13" t="s">
        <v>1124</v>
      </c>
      <c r="E61" s="8" t="s">
        <v>480</v>
      </c>
      <c r="F61" s="85">
        <v>0.80900000000000005</v>
      </c>
      <c r="G61" s="135">
        <v>0.80900000000000005</v>
      </c>
      <c r="H61" s="155">
        <v>2</v>
      </c>
      <c r="I61" s="156" t="s">
        <v>1005</v>
      </c>
      <c r="J61" s="183">
        <v>0.80900000000000005</v>
      </c>
      <c r="K61" s="55"/>
      <c r="L61" s="8" t="s">
        <v>957</v>
      </c>
      <c r="M61" s="8"/>
      <c r="N61" s="113"/>
    </row>
    <row r="62" spans="2:14" x14ac:dyDescent="0.25">
      <c r="B62" s="8"/>
      <c r="C62" s="8"/>
      <c r="D62" s="13" t="s">
        <v>35</v>
      </c>
      <c r="E62" s="8" t="s">
        <v>484</v>
      </c>
      <c r="F62" s="85">
        <v>0.72299999999999998</v>
      </c>
      <c r="G62" s="135">
        <v>0.72299999999999998</v>
      </c>
      <c r="H62" s="155">
        <v>2</v>
      </c>
      <c r="I62" s="156" t="s">
        <v>1005</v>
      </c>
      <c r="J62" s="183">
        <v>0.72299999999999998</v>
      </c>
      <c r="K62" s="55"/>
      <c r="L62" s="8" t="s">
        <v>957</v>
      </c>
      <c r="M62" s="8"/>
      <c r="N62" s="113"/>
    </row>
    <row r="63" spans="2:14" x14ac:dyDescent="0.25">
      <c r="B63" s="8"/>
      <c r="C63" s="8"/>
      <c r="D63" s="13" t="s">
        <v>495</v>
      </c>
      <c r="E63" s="8" t="s">
        <v>496</v>
      </c>
      <c r="F63" s="85">
        <v>0.82599999999999996</v>
      </c>
      <c r="G63" s="135">
        <v>0.82599999999999996</v>
      </c>
      <c r="H63" s="155">
        <v>2</v>
      </c>
      <c r="I63" s="156" t="s">
        <v>1005</v>
      </c>
      <c r="J63" s="183">
        <v>0.82599999999999996</v>
      </c>
      <c r="K63" s="55"/>
      <c r="L63" s="8" t="s">
        <v>957</v>
      </c>
      <c r="M63" s="8"/>
      <c r="N63" s="113"/>
    </row>
    <row r="64" spans="2:14" x14ac:dyDescent="0.25">
      <c r="B64" s="8"/>
      <c r="C64" s="8"/>
      <c r="D64" s="13" t="s">
        <v>485</v>
      </c>
      <c r="E64" s="8" t="s">
        <v>486</v>
      </c>
      <c r="F64" s="85">
        <v>0.53400000000000003</v>
      </c>
      <c r="G64" s="135">
        <v>0.53400000000000003</v>
      </c>
      <c r="H64" s="155">
        <v>2</v>
      </c>
      <c r="I64" s="156" t="s">
        <v>1005</v>
      </c>
      <c r="J64" s="183">
        <v>0.53400000000000003</v>
      </c>
      <c r="K64" s="55"/>
      <c r="L64" s="8" t="s">
        <v>957</v>
      </c>
      <c r="M64" s="8"/>
      <c r="N64" s="113"/>
    </row>
    <row r="65" spans="2:14" x14ac:dyDescent="0.25">
      <c r="B65" s="8"/>
      <c r="C65" s="8"/>
      <c r="D65" s="105" t="s">
        <v>163</v>
      </c>
      <c r="E65" s="8" t="s">
        <v>492</v>
      </c>
      <c r="F65" s="85">
        <v>0.156</v>
      </c>
      <c r="G65" s="135">
        <v>0.156</v>
      </c>
      <c r="H65" s="155">
        <v>2</v>
      </c>
      <c r="I65" s="156" t="s">
        <v>1005</v>
      </c>
      <c r="J65" s="183">
        <v>0.156</v>
      </c>
      <c r="K65" s="55"/>
      <c r="L65" s="8" t="s">
        <v>957</v>
      </c>
      <c r="M65" s="123" t="s">
        <v>1043</v>
      </c>
      <c r="N65" s="113"/>
    </row>
    <row r="66" spans="2:14" x14ac:dyDescent="0.25">
      <c r="B66" s="8"/>
      <c r="C66" s="8"/>
      <c r="D66" s="105" t="s">
        <v>421</v>
      </c>
      <c r="E66" s="8" t="s">
        <v>493</v>
      </c>
      <c r="F66" s="85">
        <v>0.29599999999999999</v>
      </c>
      <c r="G66" s="135">
        <v>0.29599999999999999</v>
      </c>
      <c r="H66" s="155">
        <v>2</v>
      </c>
      <c r="I66" s="156" t="s">
        <v>1005</v>
      </c>
      <c r="J66" s="183">
        <v>0.29599999999999999</v>
      </c>
      <c r="K66" s="55"/>
      <c r="L66" s="8" t="s">
        <v>957</v>
      </c>
      <c r="M66" s="123" t="s">
        <v>1043</v>
      </c>
      <c r="N66" s="113"/>
    </row>
    <row r="67" spans="2:14" x14ac:dyDescent="0.25">
      <c r="B67" s="8"/>
      <c r="C67" s="8"/>
      <c r="D67" s="13" t="s">
        <v>148</v>
      </c>
      <c r="E67" s="8"/>
      <c r="F67" s="55">
        <v>1.589</v>
      </c>
      <c r="G67" s="55">
        <v>1.589</v>
      </c>
      <c r="H67" s="155">
        <v>2</v>
      </c>
      <c r="I67" s="156" t="s">
        <v>1005</v>
      </c>
      <c r="J67" s="55">
        <v>1.589</v>
      </c>
      <c r="K67" s="55"/>
      <c r="L67" s="8" t="s">
        <v>957</v>
      </c>
      <c r="M67" s="8"/>
      <c r="N67" s="113"/>
    </row>
    <row r="68" spans="2:14" x14ac:dyDescent="0.25">
      <c r="B68" s="8"/>
      <c r="C68" s="8"/>
      <c r="D68" s="13"/>
      <c r="E68" s="86" t="s">
        <v>89</v>
      </c>
      <c r="F68" s="43">
        <f>SUM(F56:F67)</f>
        <v>7.6809999999999992</v>
      </c>
      <c r="G68" s="43">
        <f>SUM(G56:G67)</f>
        <v>7.6809999999999992</v>
      </c>
      <c r="H68" s="8"/>
      <c r="I68" s="8"/>
      <c r="J68" s="8"/>
      <c r="K68" s="123"/>
      <c r="L68" s="8"/>
      <c r="M68" s="8"/>
      <c r="N68" s="113"/>
    </row>
    <row r="69" spans="2:14" x14ac:dyDescent="0.25">
      <c r="B69" s="8"/>
      <c r="C69" s="8"/>
      <c r="D69" s="34" t="s">
        <v>494</v>
      </c>
      <c r="E69" s="8" t="s">
        <v>497</v>
      </c>
      <c r="F69" s="43">
        <v>4.6280000000000001</v>
      </c>
      <c r="G69" s="43">
        <v>4.6280000000000001</v>
      </c>
      <c r="H69" s="155">
        <v>2</v>
      </c>
      <c r="I69" s="156" t="s">
        <v>1005</v>
      </c>
      <c r="J69" s="163"/>
      <c r="K69" s="46">
        <v>4.6280000000000001</v>
      </c>
      <c r="L69" s="8" t="s">
        <v>957</v>
      </c>
      <c r="M69" s="122" t="s">
        <v>1077</v>
      </c>
      <c r="N69" s="113"/>
    </row>
    <row r="70" spans="2:14" x14ac:dyDescent="0.25">
      <c r="B70" s="8"/>
      <c r="C70" s="8"/>
      <c r="D70" s="57" t="s">
        <v>506</v>
      </c>
      <c r="E70" s="8"/>
      <c r="F70" s="55"/>
      <c r="G70" s="55"/>
      <c r="H70" s="8"/>
      <c r="I70" s="8"/>
      <c r="J70" s="8"/>
      <c r="K70" s="123"/>
      <c r="L70" s="8"/>
      <c r="M70" s="8"/>
      <c r="N70" s="113"/>
    </row>
    <row r="71" spans="2:14" x14ac:dyDescent="0.25">
      <c r="B71" s="8"/>
      <c r="C71" s="8"/>
      <c r="D71" s="13" t="s">
        <v>1118</v>
      </c>
      <c r="E71" s="8" t="s">
        <v>498</v>
      </c>
      <c r="F71" s="85">
        <v>0.73799999999999999</v>
      </c>
      <c r="G71" s="135">
        <v>0.73799999999999999</v>
      </c>
      <c r="H71" s="155">
        <v>2</v>
      </c>
      <c r="I71" s="156" t="s">
        <v>1005</v>
      </c>
      <c r="J71" s="183">
        <v>0.73799999999999999</v>
      </c>
      <c r="K71" s="55"/>
      <c r="L71" s="8" t="s">
        <v>957</v>
      </c>
      <c r="M71" s="8"/>
      <c r="N71" s="113"/>
    </row>
    <row r="72" spans="2:14" x14ac:dyDescent="0.25">
      <c r="B72" s="8"/>
      <c r="C72" s="8"/>
      <c r="D72" s="13" t="s">
        <v>33</v>
      </c>
      <c r="E72" s="8" t="s">
        <v>499</v>
      </c>
      <c r="F72" s="85">
        <v>0.68899999999999995</v>
      </c>
      <c r="G72" s="135">
        <v>0.68899999999999995</v>
      </c>
      <c r="H72" s="155">
        <v>2</v>
      </c>
      <c r="I72" s="156" t="s">
        <v>1005</v>
      </c>
      <c r="J72" s="183">
        <v>0.68899999999999995</v>
      </c>
      <c r="K72" s="55"/>
      <c r="L72" s="8" t="s">
        <v>957</v>
      </c>
      <c r="M72" s="8"/>
      <c r="N72" s="113"/>
    </row>
    <row r="73" spans="2:14" x14ac:dyDescent="0.25">
      <c r="B73" s="8"/>
      <c r="C73" s="8"/>
      <c r="D73" s="13" t="s">
        <v>34</v>
      </c>
      <c r="E73" s="8" t="s">
        <v>500</v>
      </c>
      <c r="F73" s="86">
        <v>0.50700000000000001</v>
      </c>
      <c r="G73" s="135">
        <v>0.50700000000000001</v>
      </c>
      <c r="H73" s="155">
        <v>2</v>
      </c>
      <c r="I73" s="156" t="s">
        <v>1005</v>
      </c>
      <c r="J73" s="183">
        <v>0.50700000000000001</v>
      </c>
      <c r="K73" s="55"/>
      <c r="L73" s="8" t="s">
        <v>957</v>
      </c>
      <c r="M73" s="8"/>
      <c r="N73" s="113"/>
    </row>
    <row r="74" spans="2:14" x14ac:dyDescent="0.25">
      <c r="B74" s="8"/>
      <c r="C74" s="8"/>
      <c r="D74" s="13" t="s">
        <v>1124</v>
      </c>
      <c r="E74" s="8" t="s">
        <v>501</v>
      </c>
      <c r="F74" s="86">
        <v>0.748</v>
      </c>
      <c r="G74" s="135">
        <v>0.748</v>
      </c>
      <c r="H74" s="155">
        <v>2</v>
      </c>
      <c r="I74" s="156" t="s">
        <v>1005</v>
      </c>
      <c r="J74" s="183">
        <v>0.748</v>
      </c>
      <c r="K74" s="55"/>
      <c r="L74" s="8" t="s">
        <v>957</v>
      </c>
      <c r="M74" s="8"/>
      <c r="N74" s="113"/>
    </row>
    <row r="75" spans="2:14" x14ac:dyDescent="0.25">
      <c r="B75" s="8"/>
      <c r="C75" s="8"/>
      <c r="D75" s="13" t="s">
        <v>35</v>
      </c>
      <c r="E75" s="8" t="s">
        <v>502</v>
      </c>
      <c r="F75" s="86">
        <v>0.69199999999999995</v>
      </c>
      <c r="G75" s="135">
        <v>0.69199999999999995</v>
      </c>
      <c r="H75" s="155">
        <v>2</v>
      </c>
      <c r="I75" s="156" t="s">
        <v>1005</v>
      </c>
      <c r="J75" s="183">
        <v>0.69199999999999995</v>
      </c>
      <c r="K75" s="55"/>
      <c r="L75" s="8" t="s">
        <v>957</v>
      </c>
      <c r="M75" s="8"/>
      <c r="N75" s="113"/>
    </row>
    <row r="76" spans="2:14" x14ac:dyDescent="0.25">
      <c r="B76" s="8"/>
      <c r="C76" s="8"/>
      <c r="D76" s="13" t="s">
        <v>36</v>
      </c>
      <c r="E76" s="8" t="s">
        <v>503</v>
      </c>
      <c r="F76" s="86">
        <v>0.46899999999999997</v>
      </c>
      <c r="G76" s="135">
        <v>0.46899999999999997</v>
      </c>
      <c r="H76" s="155">
        <v>2</v>
      </c>
      <c r="I76" s="156" t="s">
        <v>1005</v>
      </c>
      <c r="J76" s="183">
        <v>0.46899999999999997</v>
      </c>
      <c r="K76" s="55"/>
      <c r="L76" s="8" t="s">
        <v>957</v>
      </c>
      <c r="M76" s="8"/>
      <c r="N76" s="113"/>
    </row>
    <row r="77" spans="2:14" x14ac:dyDescent="0.25">
      <c r="B77" s="8"/>
      <c r="C77" s="8"/>
      <c r="D77" s="13" t="s">
        <v>504</v>
      </c>
      <c r="E77" s="8" t="s">
        <v>505</v>
      </c>
      <c r="F77" s="86">
        <v>0.22800000000000001</v>
      </c>
      <c r="G77" s="135">
        <v>0.22800000000000001</v>
      </c>
      <c r="H77" s="155">
        <v>2</v>
      </c>
      <c r="I77" s="156" t="s">
        <v>1005</v>
      </c>
      <c r="J77" s="183">
        <v>0.22800000000000001</v>
      </c>
      <c r="K77" s="55"/>
      <c r="L77" s="8" t="s">
        <v>957</v>
      </c>
      <c r="M77" s="8"/>
      <c r="N77" s="113"/>
    </row>
    <row r="78" spans="2:14" x14ac:dyDescent="0.25">
      <c r="B78" s="8"/>
      <c r="C78" s="8"/>
      <c r="D78" s="13" t="s">
        <v>148</v>
      </c>
      <c r="E78" s="8"/>
      <c r="F78" s="86">
        <v>0.82699999999999996</v>
      </c>
      <c r="G78" s="135">
        <v>0.82699999999999996</v>
      </c>
      <c r="H78" s="155">
        <v>2</v>
      </c>
      <c r="I78" s="156" t="s">
        <v>1005</v>
      </c>
      <c r="J78" s="183">
        <v>0.82699999999999996</v>
      </c>
      <c r="K78" s="55"/>
      <c r="L78" s="8" t="s">
        <v>957</v>
      </c>
      <c r="M78" s="8"/>
      <c r="N78" s="113"/>
    </row>
    <row r="79" spans="2:14" x14ac:dyDescent="0.25">
      <c r="B79" s="8"/>
      <c r="C79" s="8"/>
      <c r="D79" s="13"/>
      <c r="E79" s="86" t="s">
        <v>89</v>
      </c>
      <c r="F79" s="43">
        <f>SUM(F71:F78)</f>
        <v>4.8980000000000006</v>
      </c>
      <c r="G79" s="43">
        <f>SUM(G71:G78)</f>
        <v>4.8980000000000006</v>
      </c>
      <c r="H79" s="8"/>
      <c r="I79" s="8"/>
      <c r="J79" s="8"/>
      <c r="K79" s="123"/>
      <c r="L79" s="8"/>
      <c r="M79" s="8"/>
      <c r="N79" s="113"/>
    </row>
    <row r="80" spans="2:14" x14ac:dyDescent="0.25">
      <c r="B80" s="8"/>
      <c r="C80" s="8"/>
      <c r="D80" s="34" t="s">
        <v>516</v>
      </c>
      <c r="E80" s="8" t="s">
        <v>515</v>
      </c>
      <c r="F80" s="52">
        <v>0.73399999999999999</v>
      </c>
      <c r="G80" s="52">
        <v>0.73399999999999999</v>
      </c>
      <c r="H80" s="155">
        <v>2</v>
      </c>
      <c r="I80" s="156" t="s">
        <v>1005</v>
      </c>
      <c r="J80" s="163"/>
      <c r="K80" s="55">
        <v>0.73399999999999999</v>
      </c>
      <c r="L80" s="8" t="s">
        <v>957</v>
      </c>
      <c r="M80" s="8"/>
      <c r="N80" s="113"/>
    </row>
    <row r="81" spans="2:14" x14ac:dyDescent="0.25">
      <c r="B81" s="9"/>
      <c r="C81" s="9"/>
      <c r="D81" s="34" t="s">
        <v>507</v>
      </c>
      <c r="E81" s="9" t="s">
        <v>508</v>
      </c>
      <c r="F81" s="50">
        <f>2*9.257</f>
        <v>18.513999999999999</v>
      </c>
      <c r="G81" s="50">
        <f>2*9.257</f>
        <v>18.513999999999999</v>
      </c>
      <c r="H81" s="155" t="s">
        <v>1004</v>
      </c>
      <c r="I81" s="156" t="s">
        <v>1006</v>
      </c>
      <c r="J81" s="163"/>
      <c r="K81" s="133">
        <f>2*9.257</f>
        <v>18.513999999999999</v>
      </c>
      <c r="L81" s="8" t="s">
        <v>958</v>
      </c>
      <c r="M81" s="148" t="s">
        <v>1020</v>
      </c>
      <c r="N81" s="236"/>
    </row>
    <row r="82" spans="2:14" x14ac:dyDescent="0.25">
      <c r="B82" s="8"/>
      <c r="C82" s="8"/>
      <c r="D82" s="57" t="s">
        <v>509</v>
      </c>
      <c r="E82" s="8"/>
      <c r="F82" s="8"/>
      <c r="G82" s="8"/>
      <c r="H82" s="8"/>
      <c r="I82" s="8"/>
      <c r="J82" s="8"/>
      <c r="K82" s="8"/>
      <c r="L82" s="8"/>
      <c r="M82" s="8"/>
      <c r="N82" s="113"/>
    </row>
    <row r="83" spans="2:14" x14ac:dyDescent="0.25">
      <c r="B83" s="8"/>
      <c r="C83" s="8"/>
      <c r="D83" s="13" t="s">
        <v>1121</v>
      </c>
      <c r="E83" s="8" t="s">
        <v>510</v>
      </c>
      <c r="F83" s="86">
        <v>0.79300000000000004</v>
      </c>
      <c r="G83" s="135">
        <v>0.79300000000000004</v>
      </c>
      <c r="H83" s="155">
        <v>2</v>
      </c>
      <c r="I83" s="156" t="s">
        <v>1005</v>
      </c>
      <c r="J83" s="183">
        <v>0.79300000000000004</v>
      </c>
      <c r="K83" s="183"/>
      <c r="L83" s="8" t="s">
        <v>957</v>
      </c>
      <c r="M83" s="8"/>
      <c r="N83" s="113"/>
    </row>
    <row r="84" spans="2:14" x14ac:dyDescent="0.25">
      <c r="B84" s="8"/>
      <c r="C84" s="8"/>
      <c r="D84" s="13" t="s">
        <v>33</v>
      </c>
      <c r="E84" s="8" t="s">
        <v>511</v>
      </c>
      <c r="F84" s="86">
        <v>0.66100000000000003</v>
      </c>
      <c r="G84" s="135">
        <v>0.66100000000000003</v>
      </c>
      <c r="H84" s="155">
        <v>2</v>
      </c>
      <c r="I84" s="156" t="s">
        <v>1005</v>
      </c>
      <c r="J84" s="183">
        <v>0.66100000000000003</v>
      </c>
      <c r="K84" s="183"/>
      <c r="L84" s="8" t="s">
        <v>957</v>
      </c>
      <c r="M84" s="8"/>
      <c r="N84" s="113"/>
    </row>
    <row r="85" spans="2:14" x14ac:dyDescent="0.25">
      <c r="B85" s="8"/>
      <c r="C85" s="8"/>
      <c r="D85" s="13" t="s">
        <v>34</v>
      </c>
      <c r="E85" s="8" t="s">
        <v>512</v>
      </c>
      <c r="F85" s="51">
        <v>0.12</v>
      </c>
      <c r="G85" s="51">
        <v>0.12</v>
      </c>
      <c r="H85" s="155">
        <v>2</v>
      </c>
      <c r="I85" s="156" t="s">
        <v>1005</v>
      </c>
      <c r="J85" s="51">
        <v>0.12</v>
      </c>
      <c r="K85" s="183"/>
      <c r="L85" s="8" t="s">
        <v>957</v>
      </c>
      <c r="M85" s="8"/>
      <c r="N85" s="113"/>
    </row>
    <row r="86" spans="2:14" x14ac:dyDescent="0.25">
      <c r="B86" s="8"/>
      <c r="C86" s="8"/>
      <c r="D86" s="13" t="s">
        <v>1122</v>
      </c>
      <c r="E86" s="8" t="s">
        <v>513</v>
      </c>
      <c r="F86" s="86">
        <v>0.79300000000000004</v>
      </c>
      <c r="G86" s="135">
        <v>0.79300000000000004</v>
      </c>
      <c r="H86" s="155">
        <v>2</v>
      </c>
      <c r="I86" s="156" t="s">
        <v>1005</v>
      </c>
      <c r="J86" s="183">
        <v>0.79300000000000004</v>
      </c>
      <c r="K86" s="183"/>
      <c r="L86" s="8" t="s">
        <v>957</v>
      </c>
      <c r="M86" s="8"/>
      <c r="N86" s="113"/>
    </row>
    <row r="87" spans="2:14" x14ac:dyDescent="0.25">
      <c r="B87" s="8"/>
      <c r="C87" s="8"/>
      <c r="D87" s="13" t="s">
        <v>35</v>
      </c>
      <c r="E87" s="8" t="s">
        <v>514</v>
      </c>
      <c r="F87" s="51">
        <v>0.7</v>
      </c>
      <c r="G87" s="51">
        <v>0.7</v>
      </c>
      <c r="H87" s="155">
        <v>2</v>
      </c>
      <c r="I87" s="156" t="s">
        <v>1005</v>
      </c>
      <c r="J87" s="51">
        <v>0.7</v>
      </c>
      <c r="K87" s="183"/>
      <c r="L87" s="8" t="s">
        <v>957</v>
      </c>
      <c r="M87" s="8"/>
      <c r="N87" s="113"/>
    </row>
    <row r="88" spans="2:14" x14ac:dyDescent="0.25">
      <c r="B88" s="8"/>
      <c r="C88" s="8"/>
      <c r="D88" s="13" t="s">
        <v>148</v>
      </c>
      <c r="E88" s="8"/>
      <c r="F88" s="86">
        <v>0.68600000000000005</v>
      </c>
      <c r="G88" s="135">
        <v>0.68600000000000005</v>
      </c>
      <c r="H88" s="155">
        <v>2</v>
      </c>
      <c r="I88" s="156" t="s">
        <v>1005</v>
      </c>
      <c r="J88" s="183">
        <v>0.68600000000000005</v>
      </c>
      <c r="K88" s="183"/>
      <c r="L88" s="8" t="s">
        <v>957</v>
      </c>
      <c r="M88" s="8"/>
      <c r="N88" s="113"/>
    </row>
    <row r="89" spans="2:14" ht="15.75" thickBot="1" x14ac:dyDescent="0.3">
      <c r="B89" s="8"/>
      <c r="C89" s="8"/>
      <c r="D89" s="13"/>
      <c r="E89" s="86" t="s">
        <v>89</v>
      </c>
      <c r="F89" s="43">
        <f>SUM(F83:F88)</f>
        <v>3.7530000000000001</v>
      </c>
      <c r="G89" s="43">
        <f>SUM(G83:G88)</f>
        <v>3.7530000000000001</v>
      </c>
      <c r="H89" s="8"/>
      <c r="I89" s="8"/>
      <c r="J89" s="8"/>
      <c r="K89" s="8"/>
      <c r="L89" s="8"/>
      <c r="M89" s="8"/>
      <c r="N89" s="9"/>
    </row>
    <row r="90" spans="2:14" ht="15.75" thickBot="1" x14ac:dyDescent="0.3">
      <c r="B90" s="157" t="s">
        <v>1007</v>
      </c>
      <c r="E90" s="95" t="s">
        <v>705</v>
      </c>
      <c r="F90" s="104">
        <f>SUM(F14,F15,F24,F25,F33,F34,F53,F54,F68,F69,F79,F80,F81,F89)</f>
        <v>102.508</v>
      </c>
      <c r="G90" s="104">
        <f>SUM(G14,G15,G24,G25,G33,G34,G53,G54,G68,G69,G79,G80,G81,G89)</f>
        <v>102.508</v>
      </c>
      <c r="I90" s="203" t="s">
        <v>11</v>
      </c>
      <c r="J90" s="215">
        <f>SUM(J8:J34,J45:J89)</f>
        <v>32.57</v>
      </c>
      <c r="K90" s="215">
        <f>SUM(K8:K34,K45:K89)</f>
        <v>69.938000000000002</v>
      </c>
      <c r="L90" s="61" t="s">
        <v>1035</v>
      </c>
      <c r="M90" s="219">
        <f>J90+K90</f>
        <v>102.50800000000001</v>
      </c>
      <c r="N90" s="237"/>
    </row>
    <row r="91" spans="2:14" x14ac:dyDescent="0.25">
      <c r="B91" s="129" t="s">
        <v>30</v>
      </c>
      <c r="C91" s="129"/>
      <c r="D91" s="129"/>
      <c r="E91" s="110" t="s">
        <v>1000</v>
      </c>
      <c r="F91" s="144">
        <f>SUM(F24,F25,F33,F54,F68,F69,F79,F89:F89)</f>
        <v>55.658999999999999</v>
      </c>
      <c r="G91" s="144">
        <f>SUM(G24,G25,G33,G54,G68,G69,G79,G89:G89)</f>
        <v>55.658999999999999</v>
      </c>
      <c r="H91" s="129"/>
      <c r="I91" s="205" t="s">
        <v>1104</v>
      </c>
      <c r="J91" s="206">
        <f>SUM(J8:J34,J45:J89)*1000*5</f>
        <v>162850</v>
      </c>
      <c r="K91" s="206">
        <f>SUM(K8:K34,K45:K89)*1000*6</f>
        <v>419628</v>
      </c>
      <c r="L91" s="213" t="s">
        <v>1155</v>
      </c>
      <c r="M91" s="177">
        <f>SUM(J8:J13,K15,K34,J45:J52,K81)</f>
        <v>46.115000000000002</v>
      </c>
    </row>
    <row r="92" spans="2:14" x14ac:dyDescent="0.25">
      <c r="E92" s="140" t="s">
        <v>1002</v>
      </c>
      <c r="F92" s="144">
        <f>F90-F91</f>
        <v>46.848999999999997</v>
      </c>
      <c r="G92" s="144">
        <f>G90-G91</f>
        <v>46.848999999999997</v>
      </c>
      <c r="I92" s="208"/>
      <c r="J92" s="209" t="s">
        <v>1105</v>
      </c>
      <c r="K92" s="210">
        <f>J91+K91</f>
        <v>582478</v>
      </c>
      <c r="L92" s="211"/>
    </row>
    <row r="93" spans="2:14" x14ac:dyDescent="0.25">
      <c r="I93" s="194"/>
      <c r="J93" s="186" t="s">
        <v>1126</v>
      </c>
      <c r="K93" s="184">
        <f>SUM(K92/10000)</f>
        <v>58.247799999999998</v>
      </c>
      <c r="L93" s="185" t="s">
        <v>1107</v>
      </c>
    </row>
    <row r="94" spans="2:14" x14ac:dyDescent="0.25">
      <c r="E94" s="110" t="s">
        <v>1033</v>
      </c>
      <c r="F94" s="134">
        <f>F24+F25+F33+F54+F68+F69+F79+F89</f>
        <v>55.658999999999999</v>
      </c>
      <c r="G94" s="134">
        <f>G24+G25+G33+G54+G68+G69+G79+G89</f>
        <v>55.658999999999999</v>
      </c>
      <c r="H94" t="s">
        <v>1035</v>
      </c>
      <c r="I94" s="194"/>
      <c r="J94" s="186" t="s">
        <v>1125</v>
      </c>
      <c r="K94" s="184">
        <f>(SUM(J8:J13,J45:J52)*5*0.1)+SUM(K15,K34,K81)*6*0.1</f>
        <v>26.860300000000006</v>
      </c>
      <c r="L94" s="185" t="s">
        <v>1107</v>
      </c>
    </row>
    <row r="95" spans="2:14" x14ac:dyDescent="0.25">
      <c r="E95" s="110" t="s">
        <v>1034</v>
      </c>
      <c r="F95" s="134">
        <f>F90-F94</f>
        <v>46.848999999999997</v>
      </c>
      <c r="G95" s="134">
        <f>G90-G94</f>
        <v>46.848999999999997</v>
      </c>
      <c r="H95" t="s">
        <v>1035</v>
      </c>
      <c r="I95" s="193"/>
      <c r="J95" s="188" t="s">
        <v>1108</v>
      </c>
      <c r="K95" s="184">
        <v>4</v>
      </c>
      <c r="L95" s="185" t="s">
        <v>1109</v>
      </c>
    </row>
    <row r="96" spans="2:14" x14ac:dyDescent="0.25">
      <c r="I96" s="193"/>
      <c r="J96" s="188" t="s">
        <v>1110</v>
      </c>
      <c r="K96" s="184">
        <v>1.8</v>
      </c>
      <c r="L96" s="185" t="s">
        <v>1109</v>
      </c>
    </row>
    <row r="97" spans="9:12" x14ac:dyDescent="0.25">
      <c r="I97" s="192"/>
      <c r="J97" s="188" t="s">
        <v>1111</v>
      </c>
      <c r="K97" s="184">
        <v>300</v>
      </c>
      <c r="L97" s="185" t="s">
        <v>1109</v>
      </c>
    </row>
    <row r="98" spans="9:12" x14ac:dyDescent="0.25">
      <c r="I98" s="192"/>
      <c r="J98" s="189" t="s">
        <v>1115</v>
      </c>
      <c r="K98" s="191">
        <f>K$93*K95</f>
        <v>232.99119999999999</v>
      </c>
      <c r="L98" s="187" t="s">
        <v>1112</v>
      </c>
    </row>
    <row r="99" spans="9:12" x14ac:dyDescent="0.25">
      <c r="I99" s="70"/>
      <c r="J99" s="189" t="s">
        <v>1116</v>
      </c>
      <c r="K99" s="191">
        <f>K94*K96</f>
        <v>48.348540000000014</v>
      </c>
      <c r="L99" s="187" t="s">
        <v>1112</v>
      </c>
    </row>
    <row r="100" spans="9:12" x14ac:dyDescent="0.25">
      <c r="I100" s="70"/>
      <c r="J100" s="190" t="s">
        <v>1113</v>
      </c>
      <c r="K100" s="191">
        <f>K93*K97/1000</f>
        <v>17.474340000000002</v>
      </c>
      <c r="L100" s="187" t="s">
        <v>1114</v>
      </c>
    </row>
  </sheetData>
  <autoFilter ref="B1:M95" xr:uid="{00000000-0009-0000-0000-000003000000}"/>
  <mergeCells count="14">
    <mergeCell ref="B39:M39"/>
    <mergeCell ref="B40:H40"/>
    <mergeCell ref="I40:M40"/>
    <mergeCell ref="B41:M41"/>
    <mergeCell ref="B42:D42"/>
    <mergeCell ref="E42:I42"/>
    <mergeCell ref="J42:M42"/>
    <mergeCell ref="B2:M2"/>
    <mergeCell ref="B3:H3"/>
    <mergeCell ref="I3:M3"/>
    <mergeCell ref="B4:M4"/>
    <mergeCell ref="B5:D5"/>
    <mergeCell ref="E5:I5"/>
    <mergeCell ref="J5:M5"/>
  </mergeCells>
  <printOptions horizontalCentered="1"/>
  <pageMargins left="0.23622047244094491" right="0.23622047244094491" top="0.74803149606299213" bottom="0.74803149606299213" header="0.31496062992125984" footer="0.31496062992125984"/>
  <pageSetup paperSize="9" scale="7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B1:M153"/>
  <sheetViews>
    <sheetView topLeftCell="A20" zoomScaleNormal="100" workbookViewId="0">
      <selection activeCell="F43" sqref="F43"/>
    </sheetView>
  </sheetViews>
  <sheetFormatPr defaultRowHeight="15" x14ac:dyDescent="0.25"/>
  <cols>
    <col min="2" max="2" width="12.5703125" customWidth="1"/>
    <col min="3" max="3" width="12.7109375" customWidth="1"/>
    <col min="4" max="4" width="29.7109375" customWidth="1"/>
    <col min="5" max="5" width="14" customWidth="1"/>
    <col min="6" max="7" width="9.140625" customWidth="1"/>
    <col min="8" max="8" width="10.7109375" customWidth="1"/>
    <col min="9" max="9" width="24.140625" customWidth="1"/>
    <col min="10" max="11" width="10.7109375" customWidth="1"/>
    <col min="12" max="12" width="18.7109375" customWidth="1"/>
    <col min="13" max="13" width="27.7109375" customWidth="1"/>
    <col min="15" max="15" width="11.85546875" bestFit="1" customWidth="1"/>
  </cols>
  <sheetData>
    <row r="1" spans="2:13" ht="15.75" thickBot="1" x14ac:dyDescent="0.3"/>
    <row r="2" spans="2:13" ht="19.5" thickBot="1" x14ac:dyDescent="0.3">
      <c r="B2" s="349" t="s">
        <v>18</v>
      </c>
      <c r="C2" s="350"/>
      <c r="D2" s="350"/>
      <c r="E2" s="350"/>
      <c r="F2" s="350"/>
      <c r="G2" s="350"/>
      <c r="H2" s="350"/>
      <c r="I2" s="350"/>
      <c r="J2" s="350"/>
      <c r="K2" s="350"/>
      <c r="L2" s="350"/>
      <c r="M2" s="351"/>
    </row>
    <row r="3" spans="2:13" x14ac:dyDescent="0.25">
      <c r="B3" s="357" t="s">
        <v>19</v>
      </c>
      <c r="C3" s="355"/>
      <c r="D3" s="355"/>
      <c r="E3" s="355"/>
      <c r="F3" s="355"/>
      <c r="G3" s="355"/>
      <c r="H3" s="355"/>
      <c r="I3" s="355" t="s">
        <v>1003</v>
      </c>
      <c r="J3" s="355"/>
      <c r="K3" s="355"/>
      <c r="L3" s="355"/>
      <c r="M3" s="356"/>
    </row>
    <row r="4" spans="2:13" x14ac:dyDescent="0.25">
      <c r="B4" s="352"/>
      <c r="C4" s="353"/>
      <c r="D4" s="353"/>
      <c r="E4" s="353"/>
      <c r="F4" s="353"/>
      <c r="G4" s="353"/>
      <c r="H4" s="353"/>
      <c r="I4" s="353"/>
      <c r="J4" s="353"/>
      <c r="K4" s="353"/>
      <c r="L4" s="353"/>
      <c r="M4" s="354"/>
    </row>
    <row r="5" spans="2:13" ht="15.75" thickBot="1" x14ac:dyDescent="0.3">
      <c r="B5" s="358" t="s">
        <v>24</v>
      </c>
      <c r="C5" s="359"/>
      <c r="D5" s="359"/>
      <c r="E5" s="359" t="s">
        <v>93</v>
      </c>
      <c r="F5" s="359"/>
      <c r="G5" s="359"/>
      <c r="H5" s="359"/>
      <c r="I5" s="359"/>
      <c r="J5" s="359" t="s">
        <v>1127</v>
      </c>
      <c r="K5" s="359"/>
      <c r="L5" s="359"/>
      <c r="M5" s="360"/>
    </row>
    <row r="6" spans="2:13" ht="30"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row>
    <row r="7" spans="2:13" x14ac:dyDescent="0.25">
      <c r="B7" s="9"/>
      <c r="C7" s="9"/>
      <c r="D7" s="72" t="s">
        <v>441</v>
      </c>
      <c r="E7" s="9"/>
      <c r="F7" s="9"/>
      <c r="G7" s="9"/>
      <c r="H7" s="9"/>
      <c r="I7" s="9"/>
      <c r="J7" s="9"/>
      <c r="K7" s="9"/>
      <c r="L7" s="9"/>
      <c r="M7" s="9"/>
    </row>
    <row r="8" spans="2:13" x14ac:dyDescent="0.25">
      <c r="B8" s="9"/>
      <c r="C8" s="9"/>
      <c r="D8" s="72" t="s">
        <v>927</v>
      </c>
      <c r="E8" s="9"/>
      <c r="F8" s="9"/>
      <c r="G8" s="9"/>
      <c r="H8" s="9"/>
      <c r="I8" s="9"/>
      <c r="J8" s="9"/>
      <c r="K8" s="9"/>
      <c r="L8" s="9"/>
      <c r="M8" s="9"/>
    </row>
    <row r="9" spans="2:13" x14ac:dyDescent="0.25">
      <c r="B9" s="8"/>
      <c r="C9" s="8"/>
      <c r="D9" s="13" t="s">
        <v>965</v>
      </c>
      <c r="E9" s="8" t="s">
        <v>770</v>
      </c>
      <c r="F9" s="93">
        <v>1.6739999999999999</v>
      </c>
      <c r="G9" s="136">
        <v>1.6739999999999999</v>
      </c>
      <c r="H9" s="155" t="s">
        <v>1004</v>
      </c>
      <c r="I9" s="156" t="s">
        <v>1006</v>
      </c>
      <c r="J9" s="183">
        <v>1.6739999999999999</v>
      </c>
      <c r="K9" s="183"/>
      <c r="L9" s="8" t="s">
        <v>958</v>
      </c>
      <c r="M9" s="8"/>
    </row>
    <row r="10" spans="2:13" x14ac:dyDescent="0.25">
      <c r="B10" s="8"/>
      <c r="C10" s="8"/>
      <c r="D10" s="13" t="s">
        <v>225</v>
      </c>
      <c r="E10" s="8" t="s">
        <v>842</v>
      </c>
      <c r="F10" s="93">
        <v>0.24299999999999999</v>
      </c>
      <c r="G10" s="136">
        <v>0.24299999999999999</v>
      </c>
      <c r="H10" s="155" t="s">
        <v>1004</v>
      </c>
      <c r="I10" s="156" t="s">
        <v>1006</v>
      </c>
      <c r="J10" s="183">
        <v>0.24299999999999999</v>
      </c>
      <c r="K10" s="183"/>
      <c r="L10" s="8" t="s">
        <v>958</v>
      </c>
      <c r="M10" s="8"/>
    </row>
    <row r="11" spans="2:13" x14ac:dyDescent="0.25">
      <c r="B11" s="8"/>
      <c r="C11" s="8"/>
      <c r="D11" s="13" t="s">
        <v>772</v>
      </c>
      <c r="E11" s="8" t="s">
        <v>773</v>
      </c>
      <c r="F11" s="93">
        <v>1.1759999999999999</v>
      </c>
      <c r="G11" s="136">
        <v>1.1759999999999999</v>
      </c>
      <c r="H11" s="155" t="s">
        <v>1004</v>
      </c>
      <c r="I11" s="156" t="s">
        <v>1006</v>
      </c>
      <c r="J11" s="183">
        <v>1.1759999999999999</v>
      </c>
      <c r="K11" s="183"/>
      <c r="L11" s="8" t="s">
        <v>958</v>
      </c>
      <c r="M11" s="8"/>
    </row>
    <row r="12" spans="2:13" x14ac:dyDescent="0.25">
      <c r="B12" s="8"/>
      <c r="C12" s="8"/>
      <c r="D12" s="13" t="s">
        <v>482</v>
      </c>
      <c r="E12" s="8" t="s">
        <v>771</v>
      </c>
      <c r="F12" s="51">
        <v>0.87</v>
      </c>
      <c r="G12" s="51">
        <v>0.87</v>
      </c>
      <c r="H12" s="155" t="s">
        <v>1004</v>
      </c>
      <c r="I12" s="156" t="s">
        <v>1006</v>
      </c>
      <c r="J12" s="51">
        <v>0.87</v>
      </c>
      <c r="K12" s="183"/>
      <c r="L12" s="8" t="s">
        <v>958</v>
      </c>
      <c r="M12" s="8"/>
    </row>
    <row r="13" spans="2:13" x14ac:dyDescent="0.25">
      <c r="B13" s="8"/>
      <c r="C13" s="8"/>
      <c r="D13" s="13" t="s">
        <v>843</v>
      </c>
      <c r="E13" s="8" t="s">
        <v>844</v>
      </c>
      <c r="F13" s="51">
        <v>0.28299999999999997</v>
      </c>
      <c r="G13" s="51">
        <v>0.28299999999999997</v>
      </c>
      <c r="H13" s="155" t="s">
        <v>1004</v>
      </c>
      <c r="I13" s="156" t="s">
        <v>1006</v>
      </c>
      <c r="J13" s="51">
        <v>0.28299999999999997</v>
      </c>
      <c r="K13" s="183"/>
      <c r="L13" s="8" t="s">
        <v>958</v>
      </c>
      <c r="M13" s="8"/>
    </row>
    <row r="14" spans="2:13" x14ac:dyDescent="0.25">
      <c r="B14" s="8"/>
      <c r="C14" s="8"/>
      <c r="D14" s="13" t="s">
        <v>774</v>
      </c>
      <c r="E14" s="8" t="s">
        <v>775</v>
      </c>
      <c r="F14" s="93">
        <v>0.66400000000000003</v>
      </c>
      <c r="G14" s="136">
        <v>0.66400000000000003</v>
      </c>
      <c r="H14" s="155" t="s">
        <v>1004</v>
      </c>
      <c r="I14" s="156" t="s">
        <v>1006</v>
      </c>
      <c r="J14" s="183">
        <v>0.66400000000000003</v>
      </c>
      <c r="K14" s="183"/>
      <c r="L14" s="8" t="s">
        <v>958</v>
      </c>
      <c r="M14" s="8"/>
    </row>
    <row r="15" spans="2:13" x14ac:dyDescent="0.25">
      <c r="B15" s="8"/>
      <c r="C15" s="8"/>
      <c r="D15" s="13" t="s">
        <v>776</v>
      </c>
      <c r="E15" s="8" t="s">
        <v>876</v>
      </c>
      <c r="F15" s="93">
        <v>0.86399999999999999</v>
      </c>
      <c r="G15" s="136">
        <v>0.86399999999999999</v>
      </c>
      <c r="H15" s="155" t="s">
        <v>1004</v>
      </c>
      <c r="I15" s="156" t="s">
        <v>1006</v>
      </c>
      <c r="J15" s="183">
        <v>0.86399999999999999</v>
      </c>
      <c r="K15" s="183"/>
      <c r="L15" s="8" t="s">
        <v>958</v>
      </c>
      <c r="M15" s="8"/>
    </row>
    <row r="16" spans="2:13" x14ac:dyDescent="0.25">
      <c r="B16" s="8"/>
      <c r="C16" s="8"/>
      <c r="D16" s="13" t="s">
        <v>41</v>
      </c>
      <c r="E16" s="8" t="s">
        <v>777</v>
      </c>
      <c r="F16" s="93">
        <v>0.94199999999999995</v>
      </c>
      <c r="G16" s="136">
        <v>0.94199999999999995</v>
      </c>
      <c r="H16" s="155" t="s">
        <v>1004</v>
      </c>
      <c r="I16" s="156" t="s">
        <v>1006</v>
      </c>
      <c r="J16" s="183">
        <v>0.94199999999999995</v>
      </c>
      <c r="K16" s="183"/>
      <c r="L16" s="8" t="s">
        <v>958</v>
      </c>
      <c r="M16" s="8"/>
    </row>
    <row r="17" spans="2:13" x14ac:dyDescent="0.25">
      <c r="B17" s="8"/>
      <c r="C17" s="8"/>
      <c r="D17" s="13" t="s">
        <v>42</v>
      </c>
      <c r="E17" s="8" t="s">
        <v>778</v>
      </c>
      <c r="F17" s="93">
        <v>0.89400000000000002</v>
      </c>
      <c r="G17" s="136">
        <v>0.89400000000000002</v>
      </c>
      <c r="H17" s="155" t="s">
        <v>1004</v>
      </c>
      <c r="I17" s="156" t="s">
        <v>1006</v>
      </c>
      <c r="J17" s="183">
        <v>0.89400000000000002</v>
      </c>
      <c r="K17" s="183"/>
      <c r="L17" s="8" t="s">
        <v>958</v>
      </c>
      <c r="M17" s="8"/>
    </row>
    <row r="18" spans="2:13" x14ac:dyDescent="0.25">
      <c r="B18" s="8"/>
      <c r="C18" s="8"/>
      <c r="D18" s="13" t="s">
        <v>43</v>
      </c>
      <c r="E18" s="8" t="s">
        <v>877</v>
      </c>
      <c r="F18" s="93">
        <v>0.73399999999999999</v>
      </c>
      <c r="G18" s="136">
        <v>0.73399999999999999</v>
      </c>
      <c r="H18" s="155" t="s">
        <v>1004</v>
      </c>
      <c r="I18" s="156" t="s">
        <v>1006</v>
      </c>
      <c r="J18" s="183">
        <v>0.73399999999999999</v>
      </c>
      <c r="K18" s="183"/>
      <c r="L18" s="8" t="s">
        <v>958</v>
      </c>
      <c r="M18" s="8"/>
    </row>
    <row r="19" spans="2:13" x14ac:dyDescent="0.25">
      <c r="B19" s="8"/>
      <c r="C19" s="8"/>
      <c r="D19" s="13" t="s">
        <v>274</v>
      </c>
      <c r="E19" s="8" t="s">
        <v>878</v>
      </c>
      <c r="F19" s="93">
        <v>0.69699999999999995</v>
      </c>
      <c r="G19" s="136">
        <v>0.69699999999999995</v>
      </c>
      <c r="H19" s="155" t="s">
        <v>1004</v>
      </c>
      <c r="I19" s="156" t="s">
        <v>1006</v>
      </c>
      <c r="J19" s="183">
        <v>0.69699999999999995</v>
      </c>
      <c r="K19" s="183"/>
      <c r="L19" s="8" t="s">
        <v>958</v>
      </c>
      <c r="M19" s="8"/>
    </row>
    <row r="20" spans="2:13" x14ac:dyDescent="0.25">
      <c r="B20" s="8"/>
      <c r="C20" s="8"/>
      <c r="D20" s="13" t="s">
        <v>623</v>
      </c>
      <c r="E20" s="8" t="s">
        <v>879</v>
      </c>
      <c r="F20" s="93">
        <v>0.69299999999999995</v>
      </c>
      <c r="G20" s="136">
        <v>0.69299999999999995</v>
      </c>
      <c r="H20" s="155" t="s">
        <v>1004</v>
      </c>
      <c r="I20" s="156" t="s">
        <v>1006</v>
      </c>
      <c r="J20" s="183">
        <v>0.69299999999999995</v>
      </c>
      <c r="K20" s="183"/>
      <c r="L20" s="8" t="s">
        <v>958</v>
      </c>
      <c r="M20" s="8"/>
    </row>
    <row r="21" spans="2:13" x14ac:dyDescent="0.25">
      <c r="B21" s="8"/>
      <c r="C21" s="8"/>
      <c r="D21" s="13" t="s">
        <v>779</v>
      </c>
      <c r="E21" s="8" t="s">
        <v>880</v>
      </c>
      <c r="F21" s="93">
        <v>0.64100000000000001</v>
      </c>
      <c r="G21" s="136">
        <v>0.64100000000000001</v>
      </c>
      <c r="H21" s="155" t="s">
        <v>1004</v>
      </c>
      <c r="I21" s="156" t="s">
        <v>1006</v>
      </c>
      <c r="J21" s="183">
        <v>0.64100000000000001</v>
      </c>
      <c r="K21" s="183"/>
      <c r="L21" s="8" t="s">
        <v>958</v>
      </c>
      <c r="M21" s="8"/>
    </row>
    <row r="22" spans="2:13" x14ac:dyDescent="0.25">
      <c r="B22" s="8"/>
      <c r="C22" s="8"/>
      <c r="D22" s="13" t="s">
        <v>625</v>
      </c>
      <c r="E22" s="8" t="s">
        <v>881</v>
      </c>
      <c r="F22" s="93">
        <v>0.80700000000000005</v>
      </c>
      <c r="G22" s="136">
        <v>0.80700000000000005</v>
      </c>
      <c r="H22" s="155" t="s">
        <v>1004</v>
      </c>
      <c r="I22" s="156" t="s">
        <v>1006</v>
      </c>
      <c r="J22" s="183">
        <v>0.80700000000000005</v>
      </c>
      <c r="K22" s="183"/>
      <c r="L22" s="8" t="s">
        <v>958</v>
      </c>
      <c r="M22" s="8"/>
    </row>
    <row r="23" spans="2:13" x14ac:dyDescent="0.25">
      <c r="B23" s="8"/>
      <c r="C23" s="8"/>
      <c r="D23" s="105" t="s">
        <v>780</v>
      </c>
      <c r="E23" s="8" t="s">
        <v>882</v>
      </c>
      <c r="F23" s="93">
        <v>0.51200000000000001</v>
      </c>
      <c r="G23" s="136">
        <v>0.51200000000000001</v>
      </c>
      <c r="H23" s="155" t="s">
        <v>1004</v>
      </c>
      <c r="I23" s="156" t="s">
        <v>1006</v>
      </c>
      <c r="J23" s="183">
        <v>0.51200000000000001</v>
      </c>
      <c r="K23" s="183"/>
      <c r="L23" s="8" t="s">
        <v>958</v>
      </c>
      <c r="M23" s="8"/>
    </row>
    <row r="24" spans="2:13" x14ac:dyDescent="0.25">
      <c r="B24" s="8"/>
      <c r="C24" s="8"/>
      <c r="D24" s="105" t="s">
        <v>781</v>
      </c>
      <c r="E24" s="8" t="s">
        <v>883</v>
      </c>
      <c r="F24" s="93">
        <v>0.498</v>
      </c>
      <c r="G24" s="136">
        <v>0.498</v>
      </c>
      <c r="H24" s="155" t="s">
        <v>1004</v>
      </c>
      <c r="I24" s="156" t="s">
        <v>1006</v>
      </c>
      <c r="J24" s="183">
        <v>0.498</v>
      </c>
      <c r="K24" s="183"/>
      <c r="L24" s="8" t="s">
        <v>958</v>
      </c>
      <c r="M24" s="8"/>
    </row>
    <row r="25" spans="2:13" x14ac:dyDescent="0.25">
      <c r="B25" s="8"/>
      <c r="C25" s="8"/>
      <c r="D25" s="105" t="s">
        <v>782</v>
      </c>
      <c r="E25" s="8" t="s">
        <v>884</v>
      </c>
      <c r="F25" s="93">
        <v>0.60899999999999999</v>
      </c>
      <c r="G25" s="136">
        <v>0.60899999999999999</v>
      </c>
      <c r="H25" s="155" t="s">
        <v>1004</v>
      </c>
      <c r="I25" s="156" t="s">
        <v>1006</v>
      </c>
      <c r="J25" s="183">
        <v>0.60899999999999999</v>
      </c>
      <c r="K25" s="183"/>
      <c r="L25" s="8" t="s">
        <v>958</v>
      </c>
      <c r="M25" s="8"/>
    </row>
    <row r="26" spans="2:13" x14ac:dyDescent="0.25">
      <c r="B26" s="8"/>
      <c r="C26" s="8"/>
      <c r="D26" s="105" t="s">
        <v>783</v>
      </c>
      <c r="E26" s="8" t="s">
        <v>885</v>
      </c>
      <c r="F26" s="93">
        <v>0.55900000000000005</v>
      </c>
      <c r="G26" s="136">
        <v>0.55900000000000005</v>
      </c>
      <c r="H26" s="155" t="s">
        <v>1004</v>
      </c>
      <c r="I26" s="156" t="s">
        <v>1006</v>
      </c>
      <c r="J26" s="183">
        <v>0.55900000000000005</v>
      </c>
      <c r="K26" s="183"/>
      <c r="L26" s="8" t="s">
        <v>958</v>
      </c>
      <c r="M26" s="8"/>
    </row>
    <row r="27" spans="2:13" x14ac:dyDescent="0.25">
      <c r="B27" s="8"/>
      <c r="C27" s="8"/>
      <c r="D27" s="105" t="s">
        <v>784</v>
      </c>
      <c r="E27" s="8" t="s">
        <v>886</v>
      </c>
      <c r="F27" s="93">
        <v>0.55200000000000005</v>
      </c>
      <c r="G27" s="136">
        <v>0.55200000000000005</v>
      </c>
      <c r="H27" s="155" t="s">
        <v>1004</v>
      </c>
      <c r="I27" s="156" t="s">
        <v>1006</v>
      </c>
      <c r="J27" s="183">
        <v>0.55200000000000005</v>
      </c>
      <c r="K27" s="183"/>
      <c r="L27" s="8" t="s">
        <v>958</v>
      </c>
      <c r="M27" s="8"/>
    </row>
    <row r="28" spans="2:13" x14ac:dyDescent="0.25">
      <c r="B28" s="8"/>
      <c r="C28" s="8"/>
      <c r="D28" s="13" t="s">
        <v>785</v>
      </c>
      <c r="E28" s="8" t="s">
        <v>887</v>
      </c>
      <c r="F28" s="93">
        <v>0.498</v>
      </c>
      <c r="G28" s="136">
        <v>0.498</v>
      </c>
      <c r="H28" s="155" t="s">
        <v>1004</v>
      </c>
      <c r="I28" s="156" t="s">
        <v>1006</v>
      </c>
      <c r="J28" s="183">
        <v>0.498</v>
      </c>
      <c r="K28" s="183"/>
      <c r="L28" s="8" t="s">
        <v>958</v>
      </c>
      <c r="M28" s="8"/>
    </row>
    <row r="29" spans="2:13" x14ac:dyDescent="0.25">
      <c r="B29" s="8"/>
      <c r="C29" s="8"/>
      <c r="D29" s="13" t="s">
        <v>786</v>
      </c>
      <c r="E29" s="8" t="s">
        <v>887</v>
      </c>
      <c r="F29" s="93">
        <v>0.498</v>
      </c>
      <c r="G29" s="136">
        <v>0.498</v>
      </c>
      <c r="H29" s="155" t="s">
        <v>1004</v>
      </c>
      <c r="I29" s="156" t="s">
        <v>1006</v>
      </c>
      <c r="J29" s="183">
        <v>0.498</v>
      </c>
      <c r="K29" s="183"/>
      <c r="L29" s="8" t="s">
        <v>958</v>
      </c>
      <c r="M29" s="8"/>
    </row>
    <row r="30" spans="2:13" x14ac:dyDescent="0.25">
      <c r="B30" s="8"/>
      <c r="C30" s="8"/>
      <c r="D30" s="13" t="s">
        <v>787</v>
      </c>
      <c r="E30" s="8" t="s">
        <v>888</v>
      </c>
      <c r="F30" s="93">
        <v>0.41499999999999998</v>
      </c>
      <c r="G30" s="136">
        <v>0.41499999999999998</v>
      </c>
      <c r="H30" s="155" t="s">
        <v>1004</v>
      </c>
      <c r="I30" s="156" t="s">
        <v>1006</v>
      </c>
      <c r="J30" s="183">
        <v>0.41499999999999998</v>
      </c>
      <c r="K30" s="183"/>
      <c r="L30" s="8" t="s">
        <v>958</v>
      </c>
      <c r="M30" s="8"/>
    </row>
    <row r="31" spans="2:13" x14ac:dyDescent="0.25">
      <c r="B31" s="8"/>
      <c r="C31" s="8"/>
      <c r="D31" s="13" t="s">
        <v>788</v>
      </c>
      <c r="E31" s="8" t="s">
        <v>889</v>
      </c>
      <c r="F31" s="93">
        <v>0.33400000000000002</v>
      </c>
      <c r="G31" s="136">
        <v>0.33400000000000002</v>
      </c>
      <c r="H31" s="155" t="s">
        <v>1004</v>
      </c>
      <c r="I31" s="156" t="s">
        <v>1006</v>
      </c>
      <c r="J31" s="183">
        <v>0.33400000000000002</v>
      </c>
      <c r="K31" s="183"/>
      <c r="L31" s="8" t="s">
        <v>958</v>
      </c>
      <c r="M31" s="8"/>
    </row>
    <row r="32" spans="2:13" x14ac:dyDescent="0.25">
      <c r="B32" s="8"/>
      <c r="C32" s="8"/>
      <c r="D32" s="13" t="s">
        <v>789</v>
      </c>
      <c r="E32" s="8" t="s">
        <v>890</v>
      </c>
      <c r="F32" s="93">
        <v>0.33700000000000002</v>
      </c>
      <c r="G32" s="136">
        <v>0.33700000000000002</v>
      </c>
      <c r="H32" s="155" t="s">
        <v>1004</v>
      </c>
      <c r="I32" s="156" t="s">
        <v>1006</v>
      </c>
      <c r="J32" s="183">
        <v>0.33700000000000002</v>
      </c>
      <c r="K32" s="183"/>
      <c r="L32" s="8" t="s">
        <v>958</v>
      </c>
      <c r="M32" s="8"/>
    </row>
    <row r="33" spans="2:13" x14ac:dyDescent="0.25">
      <c r="B33" s="8"/>
      <c r="C33" s="8"/>
      <c r="D33" s="13" t="s">
        <v>790</v>
      </c>
      <c r="E33" s="8" t="s">
        <v>891</v>
      </c>
      <c r="F33" s="93">
        <v>0.314</v>
      </c>
      <c r="G33" s="136">
        <v>0.314</v>
      </c>
      <c r="H33" s="155" t="s">
        <v>1004</v>
      </c>
      <c r="I33" s="156" t="s">
        <v>1006</v>
      </c>
      <c r="J33" s="183">
        <v>0.314</v>
      </c>
      <c r="K33" s="183"/>
      <c r="L33" s="8" t="s">
        <v>958</v>
      </c>
      <c r="M33" s="8"/>
    </row>
    <row r="34" spans="2:13" x14ac:dyDescent="0.25">
      <c r="B34" s="8"/>
      <c r="C34" s="8"/>
      <c r="D34" s="13" t="s">
        <v>791</v>
      </c>
      <c r="E34" s="8" t="s">
        <v>792</v>
      </c>
      <c r="F34" s="93">
        <v>0.49199999999999999</v>
      </c>
      <c r="G34" s="136">
        <v>0.49199999999999999</v>
      </c>
      <c r="H34" s="155" t="s">
        <v>1004</v>
      </c>
      <c r="I34" s="156" t="s">
        <v>1006</v>
      </c>
      <c r="J34" s="183">
        <v>0.49199999999999999</v>
      </c>
      <c r="K34" s="183"/>
      <c r="L34" s="8" t="s">
        <v>958</v>
      </c>
      <c r="M34" s="8"/>
    </row>
    <row r="35" spans="2:13" x14ac:dyDescent="0.25">
      <c r="B35" s="8"/>
      <c r="C35" s="8"/>
      <c r="D35" s="13" t="s">
        <v>793</v>
      </c>
      <c r="E35" s="8" t="s">
        <v>794</v>
      </c>
      <c r="F35" s="93">
        <v>0.29399999999999998</v>
      </c>
      <c r="G35" s="136">
        <v>0.29399999999999998</v>
      </c>
      <c r="H35" s="155" t="s">
        <v>1004</v>
      </c>
      <c r="I35" s="156" t="s">
        <v>1006</v>
      </c>
      <c r="J35" s="183">
        <v>0.29399999999999998</v>
      </c>
      <c r="K35" s="183"/>
      <c r="L35" s="8" t="s">
        <v>958</v>
      </c>
      <c r="M35" s="8"/>
    </row>
    <row r="36" spans="2:13" x14ac:dyDescent="0.25">
      <c r="B36" s="8"/>
      <c r="C36" s="8"/>
      <c r="D36" s="13" t="s">
        <v>795</v>
      </c>
      <c r="E36" s="8" t="s">
        <v>892</v>
      </c>
      <c r="F36" s="93">
        <v>0.14099999999999999</v>
      </c>
      <c r="G36" s="136">
        <v>0.14099999999999999</v>
      </c>
      <c r="H36" s="155" t="s">
        <v>1004</v>
      </c>
      <c r="I36" s="156" t="s">
        <v>1006</v>
      </c>
      <c r="J36" s="183">
        <v>0.14099999999999999</v>
      </c>
      <c r="K36" s="183"/>
      <c r="L36" s="8" t="s">
        <v>958</v>
      </c>
      <c r="M36" s="8"/>
    </row>
    <row r="37" spans="2:13" x14ac:dyDescent="0.25">
      <c r="B37" s="8"/>
      <c r="C37" s="8"/>
      <c r="D37" s="13" t="s">
        <v>796</v>
      </c>
      <c r="E37" s="8" t="s">
        <v>893</v>
      </c>
      <c r="F37" s="93">
        <v>0.24199999999999999</v>
      </c>
      <c r="G37" s="136">
        <v>0.24199999999999999</v>
      </c>
      <c r="H37" s="155" t="s">
        <v>1004</v>
      </c>
      <c r="I37" s="156" t="s">
        <v>1006</v>
      </c>
      <c r="J37" s="183">
        <v>0.24199999999999999</v>
      </c>
      <c r="K37" s="183"/>
      <c r="L37" s="8" t="s">
        <v>958</v>
      </c>
      <c r="M37" s="8"/>
    </row>
    <row r="38" spans="2:13" x14ac:dyDescent="0.25">
      <c r="B38" s="8"/>
      <c r="C38" s="8"/>
      <c r="D38" s="13" t="s">
        <v>845</v>
      </c>
      <c r="E38" s="8" t="s">
        <v>846</v>
      </c>
      <c r="F38" s="93">
        <v>0.17599999999999999</v>
      </c>
      <c r="G38" s="136">
        <v>0.17599999999999999</v>
      </c>
      <c r="H38" s="155" t="s">
        <v>1004</v>
      </c>
      <c r="I38" s="156" t="s">
        <v>1006</v>
      </c>
      <c r="J38" s="183">
        <v>0.17599999999999999</v>
      </c>
      <c r="K38" s="183"/>
      <c r="L38" s="8" t="s">
        <v>958</v>
      </c>
      <c r="M38" s="8"/>
    </row>
    <row r="39" spans="2:13" x14ac:dyDescent="0.25">
      <c r="B39" s="8"/>
      <c r="C39" s="8"/>
      <c r="D39" s="105" t="s">
        <v>847</v>
      </c>
      <c r="E39" s="8" t="s">
        <v>896</v>
      </c>
      <c r="F39" s="93">
        <v>8.6999999999999994E-2</v>
      </c>
      <c r="G39" s="136">
        <v>8.6999999999999994E-2</v>
      </c>
      <c r="H39" s="155" t="s">
        <v>1004</v>
      </c>
      <c r="I39" s="156" t="s">
        <v>1006</v>
      </c>
      <c r="J39" s="183">
        <v>8.6999999999999994E-2</v>
      </c>
      <c r="K39" s="183"/>
      <c r="L39" s="8" t="s">
        <v>958</v>
      </c>
      <c r="M39" s="8"/>
    </row>
    <row r="40" spans="2:13" x14ac:dyDescent="0.25">
      <c r="B40" s="8"/>
      <c r="C40" s="8"/>
      <c r="D40" s="13" t="s">
        <v>848</v>
      </c>
      <c r="E40" s="8" t="s">
        <v>849</v>
      </c>
      <c r="F40" s="93">
        <v>0.33400000000000002</v>
      </c>
      <c r="G40" s="136">
        <v>0.33400000000000002</v>
      </c>
      <c r="H40" s="155" t="s">
        <v>1004</v>
      </c>
      <c r="I40" s="156" t="s">
        <v>1006</v>
      </c>
      <c r="J40" s="183">
        <v>0.33400000000000002</v>
      </c>
      <c r="K40" s="183"/>
      <c r="L40" s="8" t="s">
        <v>958</v>
      </c>
      <c r="M40" s="8"/>
    </row>
    <row r="41" spans="2:13" x14ac:dyDescent="0.25">
      <c r="B41" s="8"/>
      <c r="C41" s="8"/>
      <c r="D41" s="105" t="s">
        <v>850</v>
      </c>
      <c r="E41" s="8" t="s">
        <v>860</v>
      </c>
      <c r="F41" s="93">
        <v>0.78400000000000003</v>
      </c>
      <c r="G41" s="136">
        <v>0.78400000000000003</v>
      </c>
      <c r="H41" s="155" t="s">
        <v>1004</v>
      </c>
      <c r="I41" s="156" t="s">
        <v>1006</v>
      </c>
      <c r="J41" s="183">
        <v>0.78400000000000003</v>
      </c>
      <c r="K41" s="183"/>
      <c r="L41" s="8" t="s">
        <v>958</v>
      </c>
      <c r="M41" s="123" t="s">
        <v>1180</v>
      </c>
    </row>
    <row r="42" spans="2:13" x14ac:dyDescent="0.25">
      <c r="B42" s="8"/>
      <c r="C42" s="8"/>
      <c r="D42" s="13" t="s">
        <v>851</v>
      </c>
      <c r="E42" s="8" t="s">
        <v>861</v>
      </c>
      <c r="F42" s="93">
        <v>0.52500000000000002</v>
      </c>
      <c r="G42" s="136">
        <v>0.52500000000000002</v>
      </c>
      <c r="H42" s="155" t="s">
        <v>1004</v>
      </c>
      <c r="I42" s="156" t="s">
        <v>1006</v>
      </c>
      <c r="J42" s="183">
        <v>0.52500000000000002</v>
      </c>
      <c r="K42" s="183"/>
      <c r="L42" s="8" t="s">
        <v>958</v>
      </c>
      <c r="M42" s="8"/>
    </row>
    <row r="43" spans="2:13" x14ac:dyDescent="0.25">
      <c r="B43" s="8"/>
      <c r="C43" s="8"/>
      <c r="D43" s="105" t="s">
        <v>340</v>
      </c>
      <c r="E43" s="8" t="s">
        <v>897</v>
      </c>
      <c r="F43" s="93">
        <v>7.3999999999999996E-2</v>
      </c>
      <c r="G43" s="136">
        <v>7.3999999999999996E-2</v>
      </c>
      <c r="H43" s="155" t="s">
        <v>1004</v>
      </c>
      <c r="I43" s="156" t="s">
        <v>1006</v>
      </c>
      <c r="J43" s="183">
        <v>7.3999999999999996E-2</v>
      </c>
      <c r="K43" s="183"/>
      <c r="L43" s="8" t="s">
        <v>958</v>
      </c>
      <c r="M43" s="8"/>
    </row>
    <row r="44" spans="2:13" x14ac:dyDescent="0.25">
      <c r="B44" s="8"/>
      <c r="C44" s="8"/>
      <c r="D44" s="13" t="s">
        <v>854</v>
      </c>
      <c r="E44" s="8" t="s">
        <v>855</v>
      </c>
      <c r="F44" s="93">
        <v>0.151</v>
      </c>
      <c r="G44" s="136">
        <v>0.151</v>
      </c>
      <c r="H44" s="155" t="s">
        <v>1004</v>
      </c>
      <c r="I44" s="156" t="s">
        <v>1006</v>
      </c>
      <c r="J44" s="183">
        <v>0.151</v>
      </c>
      <c r="K44" s="183"/>
      <c r="L44" s="8" t="s">
        <v>958</v>
      </c>
      <c r="M44" s="8"/>
    </row>
    <row r="45" spans="2:13" x14ac:dyDescent="0.25">
      <c r="B45" s="8"/>
      <c r="C45" s="8"/>
      <c r="D45" s="13" t="s">
        <v>852</v>
      </c>
      <c r="E45" s="8" t="s">
        <v>853</v>
      </c>
      <c r="F45" s="93">
        <v>0.30199999999999999</v>
      </c>
      <c r="G45" s="136">
        <v>0.30199999999999999</v>
      </c>
      <c r="H45" s="155" t="s">
        <v>1004</v>
      </c>
      <c r="I45" s="156" t="s">
        <v>1006</v>
      </c>
      <c r="J45" s="183">
        <v>0.30199999999999999</v>
      </c>
      <c r="K45" s="183"/>
      <c r="L45" s="8" t="s">
        <v>958</v>
      </c>
      <c r="M45" s="8"/>
    </row>
    <row r="46" spans="2:13" x14ac:dyDescent="0.25">
      <c r="B46" s="8"/>
      <c r="C46" s="8"/>
      <c r="D46" s="13" t="s">
        <v>966</v>
      </c>
      <c r="E46" s="8" t="s">
        <v>868</v>
      </c>
      <c r="F46" s="93">
        <v>1.651</v>
      </c>
      <c r="G46" s="136">
        <v>1.651</v>
      </c>
      <c r="H46" s="155" t="s">
        <v>1004</v>
      </c>
      <c r="I46" s="156" t="s">
        <v>1006</v>
      </c>
      <c r="J46" s="183">
        <v>1.651</v>
      </c>
      <c r="K46" s="183"/>
      <c r="L46" s="8" t="s">
        <v>958</v>
      </c>
      <c r="M46" s="8"/>
    </row>
    <row r="47" spans="2:13" x14ac:dyDescent="0.25">
      <c r="B47" s="8"/>
      <c r="C47" s="8"/>
      <c r="D47" s="14" t="s">
        <v>929</v>
      </c>
      <c r="E47" s="8" t="s">
        <v>869</v>
      </c>
      <c r="F47" s="93">
        <v>1.631</v>
      </c>
      <c r="G47" s="136">
        <v>1.631</v>
      </c>
      <c r="H47" s="155" t="s">
        <v>1004</v>
      </c>
      <c r="I47" s="156" t="s">
        <v>1006</v>
      </c>
      <c r="J47" s="183">
        <v>1.631</v>
      </c>
      <c r="K47" s="183"/>
      <c r="L47" s="8" t="s">
        <v>958</v>
      </c>
      <c r="M47" s="8"/>
    </row>
    <row r="48" spans="2:13" x14ac:dyDescent="0.25">
      <c r="B48" s="8"/>
      <c r="C48" s="8"/>
      <c r="D48" s="13" t="s">
        <v>36</v>
      </c>
      <c r="E48" s="8" t="s">
        <v>870</v>
      </c>
      <c r="F48" s="93">
        <v>9.2999999999999999E-2</v>
      </c>
      <c r="G48" s="136">
        <v>9.2999999999999999E-2</v>
      </c>
      <c r="H48" s="155" t="s">
        <v>1004</v>
      </c>
      <c r="I48" s="156" t="s">
        <v>1006</v>
      </c>
      <c r="J48" s="183">
        <v>9.2999999999999999E-2</v>
      </c>
      <c r="K48" s="183"/>
      <c r="L48" s="8" t="s">
        <v>958</v>
      </c>
      <c r="M48" s="8"/>
    </row>
    <row r="49" spans="2:13" x14ac:dyDescent="0.25">
      <c r="B49" s="8"/>
      <c r="C49" s="8"/>
      <c r="D49" s="105" t="s">
        <v>871</v>
      </c>
      <c r="E49" s="8" t="s">
        <v>872</v>
      </c>
      <c r="F49" s="93">
        <v>0.109</v>
      </c>
      <c r="G49" s="247">
        <v>0.109</v>
      </c>
      <c r="H49" s="155" t="s">
        <v>1004</v>
      </c>
      <c r="I49" s="156" t="s">
        <v>1006</v>
      </c>
      <c r="J49" s="183">
        <v>0.109</v>
      </c>
      <c r="K49" s="183"/>
      <c r="L49" s="8" t="s">
        <v>958</v>
      </c>
      <c r="M49" s="123" t="s">
        <v>1181</v>
      </c>
    </row>
    <row r="50" spans="2:13" x14ac:dyDescent="0.25">
      <c r="B50" s="8"/>
      <c r="C50" s="8"/>
      <c r="D50" s="13" t="s">
        <v>485</v>
      </c>
      <c r="E50" s="8" t="s">
        <v>875</v>
      </c>
      <c r="F50" s="93">
        <v>0.43099999999999999</v>
      </c>
      <c r="G50" s="136">
        <v>0.43099999999999999</v>
      </c>
      <c r="H50" s="155" t="s">
        <v>1004</v>
      </c>
      <c r="I50" s="156" t="s">
        <v>1006</v>
      </c>
      <c r="J50" s="183">
        <v>0.43099999999999999</v>
      </c>
      <c r="K50" s="183"/>
      <c r="L50" s="8" t="s">
        <v>958</v>
      </c>
      <c r="M50" s="123"/>
    </row>
    <row r="51" spans="2:13" x14ac:dyDescent="0.25">
      <c r="B51" s="8"/>
      <c r="C51" s="8"/>
      <c r="D51" s="105" t="s">
        <v>899</v>
      </c>
      <c r="E51" s="8" t="s">
        <v>900</v>
      </c>
      <c r="F51" s="93">
        <v>0.105</v>
      </c>
      <c r="G51" s="247">
        <v>0.105</v>
      </c>
      <c r="H51" s="155" t="s">
        <v>1004</v>
      </c>
      <c r="I51" s="156" t="s">
        <v>1006</v>
      </c>
      <c r="J51" s="183">
        <v>0.105</v>
      </c>
      <c r="K51" s="183"/>
      <c r="L51" s="8" t="s">
        <v>958</v>
      </c>
      <c r="M51" s="123" t="s">
        <v>1181</v>
      </c>
    </row>
    <row r="52" spans="2:13" x14ac:dyDescent="0.25">
      <c r="B52" s="8"/>
      <c r="C52" s="8"/>
      <c r="D52" s="13" t="s">
        <v>873</v>
      </c>
      <c r="E52" s="8" t="s">
        <v>874</v>
      </c>
      <c r="F52" s="93">
        <v>0.36899999999999999</v>
      </c>
      <c r="G52" s="136">
        <v>0.36899999999999999</v>
      </c>
      <c r="H52" s="155" t="s">
        <v>1004</v>
      </c>
      <c r="I52" s="156" t="s">
        <v>1006</v>
      </c>
      <c r="J52" s="183">
        <v>0.36899999999999999</v>
      </c>
      <c r="K52" s="183"/>
      <c r="L52" s="8" t="s">
        <v>958</v>
      </c>
      <c r="M52" s="8"/>
    </row>
    <row r="53" spans="2:13" x14ac:dyDescent="0.25">
      <c r="B53" s="8"/>
      <c r="C53" s="8"/>
      <c r="D53" s="13" t="s">
        <v>421</v>
      </c>
      <c r="E53" s="8" t="s">
        <v>898</v>
      </c>
      <c r="F53" s="93">
        <v>0.223</v>
      </c>
      <c r="G53" s="136">
        <v>0.223</v>
      </c>
      <c r="H53" s="155" t="s">
        <v>1004</v>
      </c>
      <c r="I53" s="156" t="s">
        <v>1006</v>
      </c>
      <c r="J53" s="183">
        <v>0.223</v>
      </c>
      <c r="K53" s="183"/>
      <c r="L53" s="8" t="s">
        <v>958</v>
      </c>
      <c r="M53" s="8"/>
    </row>
    <row r="54" spans="2:13" x14ac:dyDescent="0.25">
      <c r="B54" s="8"/>
      <c r="C54" s="8"/>
      <c r="D54" s="105" t="s">
        <v>912</v>
      </c>
      <c r="E54" s="123" t="s">
        <v>913</v>
      </c>
      <c r="F54" s="55">
        <v>1.298</v>
      </c>
      <c r="G54" s="55">
        <v>1.298</v>
      </c>
      <c r="H54" s="155" t="s">
        <v>1004</v>
      </c>
      <c r="I54" s="156" t="s">
        <v>1006</v>
      </c>
      <c r="J54" s="55">
        <v>1.298</v>
      </c>
      <c r="K54" s="183"/>
      <c r="L54" s="8" t="s">
        <v>958</v>
      </c>
      <c r="M54" s="8" t="s">
        <v>967</v>
      </c>
    </row>
    <row r="55" spans="2:13" x14ac:dyDescent="0.25">
      <c r="B55" s="8"/>
      <c r="C55" s="8"/>
      <c r="D55" s="13" t="s">
        <v>901</v>
      </c>
      <c r="E55" s="8" t="s">
        <v>902</v>
      </c>
      <c r="F55" s="93">
        <v>0.191</v>
      </c>
      <c r="G55" s="136">
        <v>0.191</v>
      </c>
      <c r="H55" s="155" t="s">
        <v>1004</v>
      </c>
      <c r="I55" s="156" t="s">
        <v>1006</v>
      </c>
      <c r="J55" s="183">
        <v>0.191</v>
      </c>
      <c r="K55" s="183"/>
      <c r="L55" s="8" t="s">
        <v>958</v>
      </c>
      <c r="M55" s="8"/>
    </row>
    <row r="56" spans="2:13" x14ac:dyDescent="0.25">
      <c r="B56" s="8"/>
      <c r="C56" s="8"/>
      <c r="D56" s="13" t="s">
        <v>303</v>
      </c>
      <c r="E56" s="8" t="s">
        <v>903</v>
      </c>
      <c r="F56" s="93">
        <v>0.40200000000000002</v>
      </c>
      <c r="G56" s="136">
        <v>0.40200000000000002</v>
      </c>
      <c r="H56" s="155" t="s">
        <v>1004</v>
      </c>
      <c r="I56" s="156" t="s">
        <v>1006</v>
      </c>
      <c r="J56" s="183">
        <v>0.40200000000000002</v>
      </c>
      <c r="K56" s="183"/>
      <c r="L56" s="8" t="s">
        <v>958</v>
      </c>
      <c r="M56" s="8"/>
    </row>
    <row r="57" spans="2:13" x14ac:dyDescent="0.25">
      <c r="B57" s="8"/>
      <c r="C57" s="8"/>
      <c r="D57" s="13" t="s">
        <v>904</v>
      </c>
      <c r="E57" s="8" t="s">
        <v>905</v>
      </c>
      <c r="F57" s="93">
        <v>0.26600000000000001</v>
      </c>
      <c r="G57" s="136">
        <v>0.26600000000000001</v>
      </c>
      <c r="H57" s="155" t="s">
        <v>1004</v>
      </c>
      <c r="I57" s="156" t="s">
        <v>1006</v>
      </c>
      <c r="J57" s="183">
        <v>0.26600000000000001</v>
      </c>
      <c r="K57" s="183"/>
      <c r="L57" s="8" t="s">
        <v>958</v>
      </c>
      <c r="M57" s="8"/>
    </row>
    <row r="58" spans="2:13" x14ac:dyDescent="0.25">
      <c r="B58" s="8"/>
      <c r="C58" s="8"/>
      <c r="D58" s="13" t="s">
        <v>906</v>
      </c>
      <c r="E58" s="8" t="s">
        <v>907</v>
      </c>
      <c r="F58" s="93">
        <v>7.3999999999999996E-2</v>
      </c>
      <c r="G58" s="136">
        <v>7.3999999999999996E-2</v>
      </c>
      <c r="H58" s="155" t="s">
        <v>1004</v>
      </c>
      <c r="I58" s="156" t="s">
        <v>1006</v>
      </c>
      <c r="J58" s="183">
        <v>7.3999999999999996E-2</v>
      </c>
      <c r="K58" s="183"/>
      <c r="L58" s="8" t="s">
        <v>958</v>
      </c>
      <c r="M58" s="8"/>
    </row>
    <row r="59" spans="2:13" x14ac:dyDescent="0.25">
      <c r="B59" s="8"/>
      <c r="C59" s="8"/>
      <c r="D59" s="105" t="s">
        <v>914</v>
      </c>
      <c r="E59" s="8" t="s">
        <v>915</v>
      </c>
      <c r="F59" s="93">
        <v>0.104</v>
      </c>
      <c r="G59" s="136">
        <v>0.104</v>
      </c>
      <c r="H59" s="155" t="s">
        <v>1004</v>
      </c>
      <c r="I59" s="156" t="s">
        <v>1006</v>
      </c>
      <c r="J59" s="183">
        <v>0.104</v>
      </c>
      <c r="K59" s="183"/>
      <c r="L59" s="8" t="s">
        <v>958</v>
      </c>
      <c r="M59" s="8"/>
    </row>
    <row r="60" spans="2:13" x14ac:dyDescent="0.25">
      <c r="B60" s="8"/>
      <c r="C60" s="8"/>
      <c r="D60" s="105" t="s">
        <v>362</v>
      </c>
      <c r="E60" s="8" t="s">
        <v>897</v>
      </c>
      <c r="F60" s="224">
        <v>7.3999999999999996E-2</v>
      </c>
      <c r="G60" s="224">
        <v>7.3999999999999996E-2</v>
      </c>
      <c r="H60" s="224" t="s">
        <v>1004</v>
      </c>
      <c r="I60" s="156" t="s">
        <v>1006</v>
      </c>
      <c r="J60" s="224">
        <v>7.3999999999999996E-2</v>
      </c>
      <c r="K60" s="224"/>
      <c r="L60" s="8" t="s">
        <v>958</v>
      </c>
      <c r="M60" s="8"/>
    </row>
    <row r="61" spans="2:13" x14ac:dyDescent="0.25">
      <c r="B61" s="8"/>
      <c r="C61" s="8"/>
      <c r="D61" s="13" t="s">
        <v>148</v>
      </c>
      <c r="E61" s="8"/>
      <c r="F61" s="51">
        <v>8.3689999999999998</v>
      </c>
      <c r="G61" s="51">
        <v>8.3689999999999998</v>
      </c>
      <c r="H61" s="155" t="s">
        <v>1004</v>
      </c>
      <c r="I61" s="156" t="s">
        <v>1006</v>
      </c>
      <c r="J61" s="51">
        <v>8.3689999999999998</v>
      </c>
      <c r="K61" s="183"/>
      <c r="L61" s="8" t="s">
        <v>958</v>
      </c>
      <c r="M61" s="8"/>
    </row>
    <row r="62" spans="2:13" x14ac:dyDescent="0.25">
      <c r="B62" s="8"/>
      <c r="C62" s="8"/>
      <c r="D62" s="8"/>
      <c r="E62" s="139" t="s">
        <v>89</v>
      </c>
      <c r="F62" s="43">
        <f>SUM(F9:F61)</f>
        <v>35.299999999999997</v>
      </c>
      <c r="G62" s="43">
        <f>SUM(G9:G61)</f>
        <v>35.299999999999997</v>
      </c>
      <c r="H62" s="8"/>
      <c r="I62" s="8"/>
      <c r="J62" s="8"/>
      <c r="K62" s="8"/>
      <c r="L62" s="8"/>
      <c r="M62" s="8"/>
    </row>
    <row r="63" spans="2:13" x14ac:dyDescent="0.25">
      <c r="B63" s="11"/>
      <c r="C63" s="11"/>
      <c r="D63" s="11"/>
      <c r="E63" s="151"/>
      <c r="F63" s="152"/>
      <c r="G63" s="152"/>
      <c r="H63" s="11"/>
      <c r="I63" s="11"/>
      <c r="J63" s="11"/>
      <c r="K63" s="11"/>
      <c r="L63" s="11"/>
      <c r="M63" s="11"/>
    </row>
    <row r="64" spans="2:13" x14ac:dyDescent="0.25">
      <c r="B64" s="129" t="s">
        <v>30</v>
      </c>
      <c r="C64" s="11"/>
      <c r="D64" s="11"/>
      <c r="E64" s="151"/>
      <c r="F64" s="152"/>
      <c r="G64" s="152"/>
      <c r="H64" s="11"/>
      <c r="I64" s="11"/>
      <c r="J64" s="11"/>
      <c r="K64" s="11"/>
      <c r="L64" s="11"/>
      <c r="M64" s="11"/>
    </row>
    <row r="65" spans="2:13" ht="15.75" thickBot="1" x14ac:dyDescent="0.3">
      <c r="B65" s="129"/>
      <c r="C65" s="11"/>
      <c r="D65" s="11"/>
      <c r="E65" s="151"/>
      <c r="F65" s="152"/>
      <c r="G65" s="152"/>
      <c r="H65" s="11"/>
      <c r="I65" s="11"/>
      <c r="J65" s="11"/>
      <c r="K65" s="11"/>
      <c r="L65" s="11"/>
      <c r="M65" s="11"/>
    </row>
    <row r="66" spans="2:13" ht="19.5" thickBot="1" x14ac:dyDescent="0.3">
      <c r="B66" s="349" t="s">
        <v>18</v>
      </c>
      <c r="C66" s="350"/>
      <c r="D66" s="350"/>
      <c r="E66" s="350"/>
      <c r="F66" s="350"/>
      <c r="G66" s="350"/>
      <c r="H66" s="350"/>
      <c r="I66" s="350"/>
      <c r="J66" s="350"/>
      <c r="K66" s="350"/>
      <c r="L66" s="350"/>
      <c r="M66" s="351"/>
    </row>
    <row r="67" spans="2:13" x14ac:dyDescent="0.25">
      <c r="B67" s="357" t="s">
        <v>19</v>
      </c>
      <c r="C67" s="355"/>
      <c r="D67" s="355"/>
      <c r="E67" s="355"/>
      <c r="F67" s="355"/>
      <c r="G67" s="355"/>
      <c r="H67" s="355"/>
      <c r="I67" s="355" t="s">
        <v>1003</v>
      </c>
      <c r="J67" s="355"/>
      <c r="K67" s="355"/>
      <c r="L67" s="355"/>
      <c r="M67" s="356"/>
    </row>
    <row r="68" spans="2:13" x14ac:dyDescent="0.25">
      <c r="B68" s="352"/>
      <c r="C68" s="353"/>
      <c r="D68" s="353"/>
      <c r="E68" s="353"/>
      <c r="F68" s="353"/>
      <c r="G68" s="353"/>
      <c r="H68" s="353"/>
      <c r="I68" s="353"/>
      <c r="J68" s="353"/>
      <c r="K68" s="353"/>
      <c r="L68" s="353"/>
      <c r="M68" s="354"/>
    </row>
    <row r="69" spans="2:13" ht="15.75" thickBot="1" x14ac:dyDescent="0.3">
      <c r="B69" s="358" t="s">
        <v>24</v>
      </c>
      <c r="C69" s="359"/>
      <c r="D69" s="359"/>
      <c r="E69" s="359" t="s">
        <v>93</v>
      </c>
      <c r="F69" s="359"/>
      <c r="G69" s="359"/>
      <c r="H69" s="359"/>
      <c r="I69" s="359"/>
      <c r="J69" s="359" t="s">
        <v>1127</v>
      </c>
      <c r="K69" s="359"/>
      <c r="L69" s="359"/>
      <c r="M69" s="360"/>
    </row>
    <row r="70" spans="2:13" ht="30" customHeight="1" thickBot="1" x14ac:dyDescent="0.3">
      <c r="B70" s="18" t="s">
        <v>12</v>
      </c>
      <c r="C70" s="19" t="s">
        <v>13</v>
      </c>
      <c r="D70" s="19" t="s">
        <v>63</v>
      </c>
      <c r="E70" s="19" t="s">
        <v>64</v>
      </c>
      <c r="F70" s="137" t="s">
        <v>998</v>
      </c>
      <c r="G70" s="137" t="s">
        <v>999</v>
      </c>
      <c r="H70" s="19" t="s">
        <v>14</v>
      </c>
      <c r="I70" s="19" t="s">
        <v>15</v>
      </c>
      <c r="J70" s="19" t="s">
        <v>1102</v>
      </c>
      <c r="K70" s="19" t="s">
        <v>1103</v>
      </c>
      <c r="L70" s="19" t="s">
        <v>16</v>
      </c>
      <c r="M70" s="20" t="s">
        <v>17</v>
      </c>
    </row>
    <row r="71" spans="2:13" x14ac:dyDescent="0.25">
      <c r="B71" s="8"/>
      <c r="C71" s="8"/>
      <c r="D71" s="72" t="s">
        <v>441</v>
      </c>
      <c r="E71" s="8"/>
      <c r="F71" s="139"/>
      <c r="G71" s="139"/>
      <c r="H71" s="8"/>
      <c r="I71" s="8"/>
      <c r="J71" s="8"/>
      <c r="K71" s="8"/>
      <c r="L71" s="8"/>
      <c r="M71" s="8"/>
    </row>
    <row r="72" spans="2:13" x14ac:dyDescent="0.25">
      <c r="B72" s="8"/>
      <c r="C72" s="8"/>
      <c r="D72" s="72" t="s">
        <v>928</v>
      </c>
      <c r="E72" s="8"/>
      <c r="F72" s="139"/>
      <c r="G72" s="139"/>
      <c r="H72" s="8"/>
      <c r="I72" s="8"/>
      <c r="J72" s="8"/>
      <c r="K72" s="8"/>
      <c r="L72" s="8"/>
      <c r="M72" s="8"/>
    </row>
    <row r="73" spans="2:13" x14ac:dyDescent="0.25">
      <c r="B73" s="8"/>
      <c r="C73" s="8"/>
      <c r="D73" s="13" t="s">
        <v>138</v>
      </c>
      <c r="E73" s="8" t="s">
        <v>797</v>
      </c>
      <c r="F73" s="139">
        <v>0.89100000000000001</v>
      </c>
      <c r="G73" s="139">
        <v>0.89100000000000001</v>
      </c>
      <c r="H73" s="155" t="s">
        <v>1004</v>
      </c>
      <c r="I73" s="156" t="s">
        <v>1006</v>
      </c>
      <c r="J73" s="183">
        <v>0.89100000000000001</v>
      </c>
      <c r="K73" s="183"/>
      <c r="L73" s="8" t="s">
        <v>958</v>
      </c>
      <c r="M73" s="8"/>
    </row>
    <row r="74" spans="2:13" x14ac:dyDescent="0.25">
      <c r="B74" s="8"/>
      <c r="C74" s="8"/>
      <c r="D74" s="13" t="s">
        <v>139</v>
      </c>
      <c r="E74" s="8" t="s">
        <v>798</v>
      </c>
      <c r="F74" s="93">
        <v>0.70599999999999996</v>
      </c>
      <c r="G74" s="136">
        <v>0.70599999999999996</v>
      </c>
      <c r="H74" s="155" t="s">
        <v>1004</v>
      </c>
      <c r="I74" s="156" t="s">
        <v>1006</v>
      </c>
      <c r="J74" s="183">
        <v>0.70599999999999996</v>
      </c>
      <c r="K74" s="183"/>
      <c r="L74" s="8" t="s">
        <v>958</v>
      </c>
      <c r="M74" s="8"/>
    </row>
    <row r="75" spans="2:13" x14ac:dyDescent="0.25">
      <c r="B75" s="8"/>
      <c r="C75" s="8"/>
      <c r="D75" s="13" t="s">
        <v>799</v>
      </c>
      <c r="E75" s="8" t="s">
        <v>800</v>
      </c>
      <c r="F75" s="93">
        <v>0.60799999999999998</v>
      </c>
      <c r="G75" s="165">
        <v>0.60799999999999998</v>
      </c>
      <c r="H75" s="155" t="s">
        <v>1004</v>
      </c>
      <c r="I75" s="156" t="s">
        <v>1006</v>
      </c>
      <c r="J75" s="183">
        <v>0.60799999999999998</v>
      </c>
      <c r="K75" s="183"/>
      <c r="L75" s="8" t="s">
        <v>958</v>
      </c>
      <c r="M75" s="58"/>
    </row>
    <row r="76" spans="2:13" x14ac:dyDescent="0.25">
      <c r="B76" s="8"/>
      <c r="C76" s="8"/>
      <c r="D76" s="13" t="s">
        <v>801</v>
      </c>
      <c r="E76" s="8" t="s">
        <v>802</v>
      </c>
      <c r="F76" s="93">
        <v>0.57699999999999996</v>
      </c>
      <c r="G76" s="165">
        <v>0.57699999999999996</v>
      </c>
      <c r="H76" s="155" t="s">
        <v>1004</v>
      </c>
      <c r="I76" s="156" t="s">
        <v>1006</v>
      </c>
      <c r="J76" s="183">
        <v>0.57699999999999996</v>
      </c>
      <c r="K76" s="183"/>
      <c r="L76" s="8" t="s">
        <v>958</v>
      </c>
      <c r="M76" s="58"/>
    </row>
    <row r="77" spans="2:13" x14ac:dyDescent="0.25">
      <c r="B77" s="8"/>
      <c r="C77" s="8"/>
      <c r="D77" s="13" t="s">
        <v>803</v>
      </c>
      <c r="E77" s="8" t="s">
        <v>804</v>
      </c>
      <c r="F77" s="93">
        <v>0.65100000000000002</v>
      </c>
      <c r="G77" s="165">
        <v>0.65100000000000002</v>
      </c>
      <c r="H77" s="155" t="s">
        <v>1004</v>
      </c>
      <c r="I77" s="156" t="s">
        <v>1006</v>
      </c>
      <c r="J77" s="183">
        <v>0.65100000000000002</v>
      </c>
      <c r="K77" s="183"/>
      <c r="L77" s="8" t="s">
        <v>958</v>
      </c>
      <c r="M77" s="58"/>
    </row>
    <row r="78" spans="2:13" x14ac:dyDescent="0.25">
      <c r="B78" s="8"/>
      <c r="C78" s="8"/>
      <c r="D78" s="13" t="s">
        <v>805</v>
      </c>
      <c r="E78" s="8" t="s">
        <v>806</v>
      </c>
      <c r="F78" s="93">
        <v>0.66300000000000003</v>
      </c>
      <c r="G78" s="165">
        <v>0.66300000000000003</v>
      </c>
      <c r="H78" s="155" t="s">
        <v>1004</v>
      </c>
      <c r="I78" s="156" t="s">
        <v>1006</v>
      </c>
      <c r="J78" s="183">
        <v>0.66300000000000003</v>
      </c>
      <c r="K78" s="183"/>
      <c r="L78" s="8" t="s">
        <v>958</v>
      </c>
      <c r="M78" s="58"/>
    </row>
    <row r="79" spans="2:13" x14ac:dyDescent="0.25">
      <c r="B79" s="8"/>
      <c r="C79" s="8"/>
      <c r="D79" s="13" t="s">
        <v>807</v>
      </c>
      <c r="E79" s="8" t="s">
        <v>808</v>
      </c>
      <c r="F79" s="93">
        <v>0.70199999999999996</v>
      </c>
      <c r="G79" s="165">
        <v>0.70199999999999996</v>
      </c>
      <c r="H79" s="155" t="s">
        <v>1004</v>
      </c>
      <c r="I79" s="156" t="s">
        <v>1006</v>
      </c>
      <c r="J79" s="183">
        <v>0.70199999999999996</v>
      </c>
      <c r="K79" s="183"/>
      <c r="L79" s="8" t="s">
        <v>958</v>
      </c>
      <c r="M79" s="58"/>
    </row>
    <row r="80" spans="2:13" x14ac:dyDescent="0.25">
      <c r="B80" s="8"/>
      <c r="C80" s="8"/>
      <c r="D80" s="13" t="s">
        <v>809</v>
      </c>
      <c r="E80" s="8" t="s">
        <v>810</v>
      </c>
      <c r="F80" s="93">
        <v>0.55100000000000005</v>
      </c>
      <c r="G80" s="165">
        <v>0.55100000000000005</v>
      </c>
      <c r="H80" s="155" t="s">
        <v>1004</v>
      </c>
      <c r="I80" s="156" t="s">
        <v>1006</v>
      </c>
      <c r="J80" s="183">
        <v>0.55100000000000005</v>
      </c>
      <c r="K80" s="183"/>
      <c r="L80" s="8" t="s">
        <v>958</v>
      </c>
      <c r="M80" s="58"/>
    </row>
    <row r="81" spans="2:13" x14ac:dyDescent="0.25">
      <c r="B81" s="8"/>
      <c r="C81" s="8"/>
      <c r="D81" s="13" t="s">
        <v>811</v>
      </c>
      <c r="E81" s="8" t="s">
        <v>812</v>
      </c>
      <c r="F81" s="93">
        <v>0.50600000000000001</v>
      </c>
      <c r="G81" s="165">
        <v>0.50600000000000001</v>
      </c>
      <c r="H81" s="155" t="s">
        <v>1004</v>
      </c>
      <c r="I81" s="156" t="s">
        <v>1006</v>
      </c>
      <c r="J81" s="183">
        <v>0.50600000000000001</v>
      </c>
      <c r="K81" s="183"/>
      <c r="L81" s="8" t="s">
        <v>958</v>
      </c>
      <c r="M81" s="58"/>
    </row>
    <row r="82" spans="2:13" x14ac:dyDescent="0.25">
      <c r="B82" s="8"/>
      <c r="C82" s="8"/>
      <c r="D82" s="13" t="s">
        <v>813</v>
      </c>
      <c r="E82" s="8" t="s">
        <v>814</v>
      </c>
      <c r="F82" s="93">
        <v>0.53900000000000003</v>
      </c>
      <c r="G82" s="165">
        <v>0.53900000000000003</v>
      </c>
      <c r="H82" s="155" t="s">
        <v>1004</v>
      </c>
      <c r="I82" s="156" t="s">
        <v>1006</v>
      </c>
      <c r="J82" s="183">
        <v>0.53900000000000003</v>
      </c>
      <c r="K82" s="183"/>
      <c r="L82" s="8" t="s">
        <v>958</v>
      </c>
      <c r="M82" s="58"/>
    </row>
    <row r="83" spans="2:13" x14ac:dyDescent="0.25">
      <c r="B83" s="8"/>
      <c r="C83" s="8"/>
      <c r="D83" s="13" t="s">
        <v>815</v>
      </c>
      <c r="E83" s="8" t="s">
        <v>816</v>
      </c>
      <c r="F83" s="93">
        <v>0.54600000000000004</v>
      </c>
      <c r="G83" s="165">
        <v>0.54600000000000004</v>
      </c>
      <c r="H83" s="155" t="s">
        <v>1004</v>
      </c>
      <c r="I83" s="156" t="s">
        <v>1006</v>
      </c>
      <c r="J83" s="183">
        <v>0.54600000000000004</v>
      </c>
      <c r="K83" s="183"/>
      <c r="L83" s="8" t="s">
        <v>958</v>
      </c>
      <c r="M83" s="58"/>
    </row>
    <row r="84" spans="2:13" x14ac:dyDescent="0.25">
      <c r="B84" s="8"/>
      <c r="C84" s="8"/>
      <c r="D84" s="13" t="s">
        <v>817</v>
      </c>
      <c r="E84" s="8" t="s">
        <v>818</v>
      </c>
      <c r="F84" s="93">
        <v>0.497</v>
      </c>
      <c r="G84" s="165">
        <v>0.497</v>
      </c>
      <c r="H84" s="155" t="s">
        <v>1004</v>
      </c>
      <c r="I84" s="156" t="s">
        <v>1006</v>
      </c>
      <c r="J84" s="183">
        <v>0.497</v>
      </c>
      <c r="K84" s="183"/>
      <c r="L84" s="8" t="s">
        <v>958</v>
      </c>
      <c r="M84" s="58"/>
    </row>
    <row r="85" spans="2:13" x14ac:dyDescent="0.25">
      <c r="B85" s="8"/>
      <c r="C85" s="8"/>
      <c r="D85" s="13" t="s">
        <v>819</v>
      </c>
      <c r="E85" s="8" t="s">
        <v>820</v>
      </c>
      <c r="F85" s="93">
        <v>0.501</v>
      </c>
      <c r="G85" s="165">
        <v>0.501</v>
      </c>
      <c r="H85" s="155" t="s">
        <v>1004</v>
      </c>
      <c r="I85" s="156" t="s">
        <v>1006</v>
      </c>
      <c r="J85" s="183">
        <v>0.501</v>
      </c>
      <c r="K85" s="183"/>
      <c r="L85" s="8" t="s">
        <v>958</v>
      </c>
      <c r="M85" s="58"/>
    </row>
    <row r="86" spans="2:13" x14ac:dyDescent="0.25">
      <c r="B86" s="8"/>
      <c r="C86" s="8"/>
      <c r="D86" s="13" t="s">
        <v>821</v>
      </c>
      <c r="E86" s="8" t="s">
        <v>822</v>
      </c>
      <c r="F86" s="93">
        <v>0.61099999999999999</v>
      </c>
      <c r="G86" s="165">
        <v>0.61099999999999999</v>
      </c>
      <c r="H86" s="155" t="s">
        <v>1004</v>
      </c>
      <c r="I86" s="156" t="s">
        <v>1006</v>
      </c>
      <c r="J86" s="183">
        <v>0.61099999999999999</v>
      </c>
      <c r="K86" s="183"/>
      <c r="L86" s="8" t="s">
        <v>958</v>
      </c>
      <c r="M86" s="58"/>
    </row>
    <row r="87" spans="2:13" x14ac:dyDescent="0.25">
      <c r="B87" s="8"/>
      <c r="C87" s="8"/>
      <c r="D87" s="13" t="s">
        <v>823</v>
      </c>
      <c r="E87" s="8" t="s">
        <v>824</v>
      </c>
      <c r="F87" s="93">
        <v>0.624</v>
      </c>
      <c r="G87" s="165">
        <v>0.624</v>
      </c>
      <c r="H87" s="155" t="s">
        <v>1004</v>
      </c>
      <c r="I87" s="156" t="s">
        <v>1006</v>
      </c>
      <c r="J87" s="183">
        <v>0.624</v>
      </c>
      <c r="K87" s="183"/>
      <c r="L87" s="8" t="s">
        <v>958</v>
      </c>
      <c r="M87" s="58"/>
    </row>
    <row r="88" spans="2:13" x14ac:dyDescent="0.25">
      <c r="B88" s="8"/>
      <c r="C88" s="8"/>
      <c r="D88" s="13" t="s">
        <v>825</v>
      </c>
      <c r="E88" s="8" t="s">
        <v>824</v>
      </c>
      <c r="F88" s="93">
        <v>0.624</v>
      </c>
      <c r="G88" s="165">
        <v>0.624</v>
      </c>
      <c r="H88" s="155" t="s">
        <v>1004</v>
      </c>
      <c r="I88" s="156" t="s">
        <v>1006</v>
      </c>
      <c r="J88" s="183">
        <v>0.624</v>
      </c>
      <c r="K88" s="183"/>
      <c r="L88" s="8" t="s">
        <v>958</v>
      </c>
      <c r="M88" s="58"/>
    </row>
    <row r="89" spans="2:13" x14ac:dyDescent="0.25">
      <c r="B89" s="8"/>
      <c r="C89" s="8"/>
      <c r="D89" s="13" t="s">
        <v>826</v>
      </c>
      <c r="E89" s="8" t="s">
        <v>827</v>
      </c>
      <c r="F89" s="93">
        <v>0.68300000000000005</v>
      </c>
      <c r="G89" s="165">
        <v>0.68300000000000005</v>
      </c>
      <c r="H89" s="155" t="s">
        <v>1004</v>
      </c>
      <c r="I89" s="156" t="s">
        <v>1006</v>
      </c>
      <c r="J89" s="183">
        <v>0.68300000000000005</v>
      </c>
      <c r="K89" s="183"/>
      <c r="L89" s="8" t="s">
        <v>958</v>
      </c>
      <c r="M89" s="58"/>
    </row>
    <row r="90" spans="2:13" x14ac:dyDescent="0.25">
      <c r="B90" s="8"/>
      <c r="C90" s="8"/>
      <c r="D90" s="13" t="s">
        <v>828</v>
      </c>
      <c r="E90" s="8" t="s">
        <v>829</v>
      </c>
      <c r="F90" s="93">
        <v>0.61499999999999999</v>
      </c>
      <c r="G90" s="165">
        <v>0.61499999999999999</v>
      </c>
      <c r="H90" s="155" t="s">
        <v>1004</v>
      </c>
      <c r="I90" s="156" t="s">
        <v>1006</v>
      </c>
      <c r="J90" s="183">
        <v>0.61499999999999999</v>
      </c>
      <c r="K90" s="183"/>
      <c r="L90" s="8" t="s">
        <v>958</v>
      </c>
      <c r="M90" s="58"/>
    </row>
    <row r="91" spans="2:13" x14ac:dyDescent="0.25">
      <c r="B91" s="8"/>
      <c r="C91" s="8"/>
      <c r="D91" s="13" t="s">
        <v>830</v>
      </c>
      <c r="E91" s="8" t="s">
        <v>831</v>
      </c>
      <c r="F91" s="93">
        <v>0.47699999999999998</v>
      </c>
      <c r="G91" s="165">
        <v>0.47699999999999998</v>
      </c>
      <c r="H91" s="155" t="s">
        <v>1004</v>
      </c>
      <c r="I91" s="156" t="s">
        <v>1006</v>
      </c>
      <c r="J91" s="183">
        <v>0.47699999999999998</v>
      </c>
      <c r="K91" s="183"/>
      <c r="L91" s="8" t="s">
        <v>958</v>
      </c>
      <c r="M91" s="58"/>
    </row>
    <row r="92" spans="2:13" x14ac:dyDescent="0.25">
      <c r="B92" s="8"/>
      <c r="C92" s="8"/>
      <c r="D92" s="105" t="s">
        <v>832</v>
      </c>
      <c r="E92" s="8" t="s">
        <v>833</v>
      </c>
      <c r="F92" s="93">
        <v>0.41699999999999998</v>
      </c>
      <c r="G92" s="165">
        <v>0.41699999999999998</v>
      </c>
      <c r="H92" s="155" t="s">
        <v>1004</v>
      </c>
      <c r="I92" s="156" t="s">
        <v>1006</v>
      </c>
      <c r="J92" s="183">
        <v>0.41699999999999998</v>
      </c>
      <c r="K92" s="183"/>
      <c r="L92" s="8" t="s">
        <v>958</v>
      </c>
      <c r="M92" s="58"/>
    </row>
    <row r="93" spans="2:13" x14ac:dyDescent="0.25">
      <c r="B93" s="8"/>
      <c r="C93" s="8"/>
      <c r="D93" s="105" t="s">
        <v>834</v>
      </c>
      <c r="E93" s="8" t="s">
        <v>835</v>
      </c>
      <c r="F93" s="93">
        <v>0.32300000000000001</v>
      </c>
      <c r="G93" s="165">
        <v>0.32300000000000001</v>
      </c>
      <c r="H93" s="155" t="s">
        <v>1004</v>
      </c>
      <c r="I93" s="156" t="s">
        <v>1006</v>
      </c>
      <c r="J93" s="183">
        <v>0.32300000000000001</v>
      </c>
      <c r="K93" s="183"/>
      <c r="L93" s="8" t="s">
        <v>958</v>
      </c>
      <c r="M93" s="58"/>
    </row>
    <row r="94" spans="2:13" x14ac:dyDescent="0.25">
      <c r="B94" s="8"/>
      <c r="C94" s="8"/>
      <c r="D94" s="105" t="s">
        <v>836</v>
      </c>
      <c r="E94" s="8" t="s">
        <v>839</v>
      </c>
      <c r="F94" s="93">
        <v>0.34200000000000003</v>
      </c>
      <c r="G94" s="165">
        <v>0.34200000000000003</v>
      </c>
      <c r="H94" s="155" t="s">
        <v>1004</v>
      </c>
      <c r="I94" s="156" t="s">
        <v>1006</v>
      </c>
      <c r="J94" s="183">
        <v>0.34200000000000003</v>
      </c>
      <c r="K94" s="183"/>
      <c r="L94" s="8" t="s">
        <v>958</v>
      </c>
      <c r="M94" s="58"/>
    </row>
    <row r="95" spans="2:13" x14ac:dyDescent="0.25">
      <c r="B95" s="8"/>
      <c r="C95" s="8"/>
      <c r="D95" s="105" t="s">
        <v>837</v>
      </c>
      <c r="E95" s="8" t="s">
        <v>894</v>
      </c>
      <c r="F95" s="93">
        <v>9.2999999999999999E-2</v>
      </c>
      <c r="G95" s="165">
        <v>9.2999999999999999E-2</v>
      </c>
      <c r="H95" s="155" t="s">
        <v>1004</v>
      </c>
      <c r="I95" s="156" t="s">
        <v>1006</v>
      </c>
      <c r="J95" s="183">
        <v>9.2999999999999999E-2</v>
      </c>
      <c r="K95" s="183"/>
      <c r="L95" s="8" t="s">
        <v>958</v>
      </c>
      <c r="M95" s="58"/>
    </row>
    <row r="96" spans="2:13" x14ac:dyDescent="0.25">
      <c r="B96" s="8"/>
      <c r="C96" s="8"/>
      <c r="D96" s="105" t="s">
        <v>838</v>
      </c>
      <c r="E96" s="8" t="s">
        <v>895</v>
      </c>
      <c r="F96" s="107">
        <v>5.2999999999999999E-2</v>
      </c>
      <c r="G96" s="165">
        <v>5.2999999999999999E-2</v>
      </c>
      <c r="H96" s="155" t="s">
        <v>1004</v>
      </c>
      <c r="I96" s="156" t="s">
        <v>1006</v>
      </c>
      <c r="J96" s="183">
        <v>5.2999999999999999E-2</v>
      </c>
      <c r="K96" s="183"/>
      <c r="L96" s="8" t="s">
        <v>958</v>
      </c>
      <c r="M96" s="58"/>
    </row>
    <row r="97" spans="2:13" x14ac:dyDescent="0.25">
      <c r="B97" s="8"/>
      <c r="C97" s="8"/>
      <c r="D97" s="105" t="s">
        <v>930</v>
      </c>
      <c r="E97" s="8" t="s">
        <v>931</v>
      </c>
      <c r="F97" s="108">
        <v>7.4999999999999997E-2</v>
      </c>
      <c r="G97" s="165">
        <v>7.4999999999999997E-2</v>
      </c>
      <c r="H97" s="155" t="s">
        <v>1004</v>
      </c>
      <c r="I97" s="156" t="s">
        <v>1006</v>
      </c>
      <c r="J97" s="183">
        <v>7.4999999999999997E-2</v>
      </c>
      <c r="K97" s="183"/>
      <c r="L97" s="8" t="s">
        <v>958</v>
      </c>
      <c r="M97" s="58"/>
    </row>
    <row r="98" spans="2:13" x14ac:dyDescent="0.25">
      <c r="B98" s="8"/>
      <c r="C98" s="8"/>
      <c r="D98" s="13" t="s">
        <v>148</v>
      </c>
      <c r="E98" s="8"/>
      <c r="F98" s="51">
        <v>1.7569999999999999</v>
      </c>
      <c r="G98" s="51">
        <v>1.7569999999999999</v>
      </c>
      <c r="H98" s="155" t="s">
        <v>1004</v>
      </c>
      <c r="I98" s="156" t="s">
        <v>1006</v>
      </c>
      <c r="J98" s="51">
        <v>1.7569999999999999</v>
      </c>
      <c r="K98" s="183"/>
      <c r="L98" s="8" t="s">
        <v>958</v>
      </c>
      <c r="M98" s="58"/>
    </row>
    <row r="99" spans="2:13" x14ac:dyDescent="0.25">
      <c r="B99" s="8"/>
      <c r="C99" s="8"/>
      <c r="D99" s="8"/>
      <c r="E99" s="108" t="s">
        <v>89</v>
      </c>
      <c r="F99" s="43">
        <f>SUM(F73:F98)</f>
        <v>14.632000000000003</v>
      </c>
      <c r="G99" s="43">
        <f>SUM(G73:G98)</f>
        <v>14.632000000000003</v>
      </c>
      <c r="H99" s="8"/>
      <c r="I99" s="8"/>
      <c r="J99" s="8"/>
      <c r="K99" s="8"/>
      <c r="L99" s="8"/>
      <c r="M99" s="69"/>
    </row>
    <row r="100" spans="2:13" x14ac:dyDescent="0.25">
      <c r="B100" s="11"/>
      <c r="C100" s="11"/>
      <c r="D100" s="110"/>
      <c r="E100" s="110"/>
      <c r="F100" s="112"/>
      <c r="G100" s="112"/>
      <c r="H100" s="11"/>
      <c r="I100" s="11"/>
      <c r="J100" s="11"/>
      <c r="K100" s="11"/>
      <c r="L100" s="11"/>
      <c r="M100" s="11"/>
    </row>
    <row r="101" spans="2:13" x14ac:dyDescent="0.25">
      <c r="B101" s="129" t="s">
        <v>30</v>
      </c>
      <c r="C101" s="129"/>
      <c r="D101" s="129"/>
      <c r="E101" s="129"/>
      <c r="F101" s="129"/>
      <c r="G101" s="129"/>
      <c r="H101" s="129"/>
      <c r="I101" s="129"/>
      <c r="J101" s="129"/>
      <c r="K101" s="129"/>
      <c r="L101" s="129"/>
      <c r="M101" s="129"/>
    </row>
    <row r="102" spans="2:13" ht="15.75" thickBot="1" x14ac:dyDescent="0.3">
      <c r="B102" s="121"/>
      <c r="C102" s="121"/>
      <c r="D102" s="121"/>
      <c r="E102" s="121"/>
      <c r="F102" s="121"/>
      <c r="G102" s="129"/>
      <c r="H102" s="121"/>
      <c r="I102" s="121"/>
      <c r="J102" s="121"/>
      <c r="K102" s="129"/>
      <c r="L102" s="121"/>
      <c r="M102" s="121"/>
    </row>
    <row r="103" spans="2:13" ht="19.5" thickBot="1" x14ac:dyDescent="0.3">
      <c r="B103" s="349" t="s">
        <v>18</v>
      </c>
      <c r="C103" s="350"/>
      <c r="D103" s="350"/>
      <c r="E103" s="350"/>
      <c r="F103" s="350"/>
      <c r="G103" s="350"/>
      <c r="H103" s="350"/>
      <c r="I103" s="350"/>
      <c r="J103" s="350"/>
      <c r="K103" s="350"/>
      <c r="L103" s="350"/>
      <c r="M103" s="351"/>
    </row>
    <row r="104" spans="2:13" x14ac:dyDescent="0.25">
      <c r="B104" s="357" t="s">
        <v>19</v>
      </c>
      <c r="C104" s="355"/>
      <c r="D104" s="355"/>
      <c r="E104" s="355"/>
      <c r="F104" s="355"/>
      <c r="G104" s="355"/>
      <c r="H104" s="355"/>
      <c r="I104" s="355" t="s">
        <v>1003</v>
      </c>
      <c r="J104" s="355"/>
      <c r="K104" s="355"/>
      <c r="L104" s="355"/>
      <c r="M104" s="356"/>
    </row>
    <row r="105" spans="2:13" x14ac:dyDescent="0.25">
      <c r="B105" s="352"/>
      <c r="C105" s="353"/>
      <c r="D105" s="353"/>
      <c r="E105" s="353"/>
      <c r="F105" s="353"/>
      <c r="G105" s="353"/>
      <c r="H105" s="353"/>
      <c r="I105" s="353"/>
      <c r="J105" s="353"/>
      <c r="K105" s="353"/>
      <c r="L105" s="353"/>
      <c r="M105" s="354"/>
    </row>
    <row r="106" spans="2:13" ht="15.75" thickBot="1" x14ac:dyDescent="0.3">
      <c r="B106" s="358" t="s">
        <v>24</v>
      </c>
      <c r="C106" s="359"/>
      <c r="D106" s="359"/>
      <c r="E106" s="359" t="s">
        <v>93</v>
      </c>
      <c r="F106" s="359"/>
      <c r="G106" s="359"/>
      <c r="H106" s="359"/>
      <c r="I106" s="359"/>
      <c r="J106" s="359" t="s">
        <v>1127</v>
      </c>
      <c r="K106" s="359"/>
      <c r="L106" s="359"/>
      <c r="M106" s="360"/>
    </row>
    <row r="107" spans="2:13" ht="30" customHeight="1" thickBot="1" x14ac:dyDescent="0.3">
      <c r="B107" s="18" t="s">
        <v>12</v>
      </c>
      <c r="C107" s="19" t="s">
        <v>13</v>
      </c>
      <c r="D107" s="19" t="s">
        <v>63</v>
      </c>
      <c r="E107" s="19" t="s">
        <v>64</v>
      </c>
      <c r="F107" s="137" t="s">
        <v>998</v>
      </c>
      <c r="G107" s="137" t="s">
        <v>999</v>
      </c>
      <c r="H107" s="19" t="s">
        <v>14</v>
      </c>
      <c r="I107" s="19" t="s">
        <v>15</v>
      </c>
      <c r="J107" s="19" t="s">
        <v>1102</v>
      </c>
      <c r="K107" s="19" t="s">
        <v>1103</v>
      </c>
      <c r="L107" s="19" t="s">
        <v>16</v>
      </c>
      <c r="M107" s="20" t="s">
        <v>17</v>
      </c>
    </row>
    <row r="108" spans="2:13" x14ac:dyDescent="0.25">
      <c r="B108" s="9"/>
      <c r="C108" s="9"/>
      <c r="D108" s="72" t="s">
        <v>441</v>
      </c>
      <c r="E108" s="9"/>
      <c r="F108" s="9"/>
      <c r="G108" s="9"/>
      <c r="H108" s="9"/>
      <c r="I108" s="9"/>
      <c r="J108" s="9"/>
      <c r="K108" s="9"/>
      <c r="L108" s="9"/>
      <c r="M108" s="9"/>
    </row>
    <row r="109" spans="2:13" x14ac:dyDescent="0.25">
      <c r="B109" s="9"/>
      <c r="C109" s="9"/>
      <c r="D109" s="72" t="s">
        <v>937</v>
      </c>
      <c r="E109" s="9"/>
      <c r="F109" s="9"/>
      <c r="G109" s="9"/>
      <c r="H109" s="9"/>
      <c r="I109" s="9"/>
      <c r="J109" s="9"/>
      <c r="K109" s="9"/>
      <c r="L109" s="9"/>
      <c r="M109" s="9"/>
    </row>
    <row r="110" spans="2:13" x14ac:dyDescent="0.25">
      <c r="B110" s="9"/>
      <c r="C110" s="9"/>
      <c r="D110" s="109" t="s">
        <v>975</v>
      </c>
      <c r="E110" s="9" t="s">
        <v>935</v>
      </c>
      <c r="F110" s="17">
        <v>0.97499999999999998</v>
      </c>
      <c r="G110" s="17">
        <v>0.97499999999999998</v>
      </c>
      <c r="H110" s="155" t="s">
        <v>1004</v>
      </c>
      <c r="I110" s="156" t="s">
        <v>1006</v>
      </c>
      <c r="J110" s="17">
        <v>0.97499999999999998</v>
      </c>
      <c r="K110" s="183"/>
      <c r="L110" s="8" t="s">
        <v>958</v>
      </c>
      <c r="M110" s="9"/>
    </row>
    <row r="111" spans="2:13" x14ac:dyDescent="0.25">
      <c r="B111" s="9"/>
      <c r="C111" s="9"/>
      <c r="D111" s="105" t="s">
        <v>37</v>
      </c>
      <c r="E111" s="9" t="s">
        <v>936</v>
      </c>
      <c r="F111" s="17">
        <v>0.30099999999999999</v>
      </c>
      <c r="G111" s="17">
        <v>0.30099999999999999</v>
      </c>
      <c r="H111" s="155" t="s">
        <v>1004</v>
      </c>
      <c r="I111" s="156" t="s">
        <v>1006</v>
      </c>
      <c r="J111" s="17">
        <v>0.30099999999999999</v>
      </c>
      <c r="K111" s="183"/>
      <c r="L111" s="8" t="s">
        <v>958</v>
      </c>
      <c r="M111" s="9"/>
    </row>
    <row r="112" spans="2:13" x14ac:dyDescent="0.25">
      <c r="B112" s="9"/>
      <c r="C112" s="9"/>
      <c r="D112" s="14" t="s">
        <v>790</v>
      </c>
      <c r="E112" s="9" t="s">
        <v>938</v>
      </c>
      <c r="F112" s="17">
        <v>1.365</v>
      </c>
      <c r="G112" s="17">
        <v>1.365</v>
      </c>
      <c r="H112" s="155" t="s">
        <v>1004</v>
      </c>
      <c r="I112" s="156" t="s">
        <v>1006</v>
      </c>
      <c r="J112" s="17">
        <v>1.365</v>
      </c>
      <c r="K112" s="183"/>
      <c r="L112" s="8" t="s">
        <v>958</v>
      </c>
      <c r="M112" s="9"/>
    </row>
    <row r="113" spans="2:13" x14ac:dyDescent="0.25">
      <c r="B113" s="9"/>
      <c r="C113" s="9"/>
      <c r="D113" s="14" t="s">
        <v>940</v>
      </c>
      <c r="E113" s="9" t="s">
        <v>939</v>
      </c>
      <c r="F113" s="17">
        <v>1.9350000000000001</v>
      </c>
      <c r="G113" s="17">
        <v>1.9350000000000001</v>
      </c>
      <c r="H113" s="155" t="s">
        <v>1004</v>
      </c>
      <c r="I113" s="156" t="s">
        <v>1006</v>
      </c>
      <c r="J113" s="17">
        <v>1.9350000000000001</v>
      </c>
      <c r="K113" s="183"/>
      <c r="L113" s="8" t="s">
        <v>958</v>
      </c>
      <c r="M113" s="9"/>
    </row>
    <row r="114" spans="2:13" x14ac:dyDescent="0.25">
      <c r="B114" s="9"/>
      <c r="C114" s="9"/>
      <c r="D114" s="14" t="s">
        <v>941</v>
      </c>
      <c r="E114" s="9" t="s">
        <v>942</v>
      </c>
      <c r="F114" s="17">
        <v>7.9000000000000001E-2</v>
      </c>
      <c r="G114" s="17">
        <v>7.9000000000000001E-2</v>
      </c>
      <c r="H114" s="155" t="s">
        <v>1004</v>
      </c>
      <c r="I114" s="156" t="s">
        <v>1006</v>
      </c>
      <c r="J114" s="17">
        <v>7.9000000000000001E-2</v>
      </c>
      <c r="K114" s="183"/>
      <c r="L114" s="8" t="s">
        <v>958</v>
      </c>
      <c r="M114" s="9"/>
    </row>
    <row r="115" spans="2:13" x14ac:dyDescent="0.25">
      <c r="B115" s="9"/>
      <c r="C115" s="9"/>
      <c r="D115" s="14" t="s">
        <v>44</v>
      </c>
      <c r="E115" s="9" t="s">
        <v>840</v>
      </c>
      <c r="F115" s="17">
        <v>0.70299999999999996</v>
      </c>
      <c r="G115" s="17">
        <v>0.70299999999999996</v>
      </c>
      <c r="H115" s="155" t="s">
        <v>1004</v>
      </c>
      <c r="I115" s="156" t="s">
        <v>1006</v>
      </c>
      <c r="J115" s="17">
        <v>0.70299999999999996</v>
      </c>
      <c r="K115" s="183"/>
      <c r="L115" s="8" t="s">
        <v>958</v>
      </c>
      <c r="M115" s="9"/>
    </row>
    <row r="116" spans="2:13" x14ac:dyDescent="0.25">
      <c r="B116" s="8"/>
      <c r="C116" s="8"/>
      <c r="D116" s="13" t="s">
        <v>45</v>
      </c>
      <c r="E116" s="8" t="s">
        <v>841</v>
      </c>
      <c r="F116" s="179">
        <v>0.61199999999999999</v>
      </c>
      <c r="G116" s="179">
        <v>0.61199999999999999</v>
      </c>
      <c r="H116" s="155" t="s">
        <v>1004</v>
      </c>
      <c r="I116" s="156" t="s">
        <v>1006</v>
      </c>
      <c r="J116" s="183">
        <v>0.61199999999999999</v>
      </c>
      <c r="K116" s="183"/>
      <c r="L116" s="8" t="s">
        <v>958</v>
      </c>
      <c r="M116" s="8"/>
    </row>
    <row r="117" spans="2:13" x14ac:dyDescent="0.25">
      <c r="B117" s="8"/>
      <c r="C117" s="8"/>
      <c r="D117" s="105" t="s">
        <v>856</v>
      </c>
      <c r="E117" s="8" t="s">
        <v>859</v>
      </c>
      <c r="F117" s="179">
        <v>0.23599999999999999</v>
      </c>
      <c r="G117" s="179">
        <v>0.23599999999999999</v>
      </c>
      <c r="H117" s="155" t="s">
        <v>1004</v>
      </c>
      <c r="I117" s="156" t="s">
        <v>1006</v>
      </c>
      <c r="J117" s="183">
        <v>0.23599999999999999</v>
      </c>
      <c r="K117" s="183"/>
      <c r="L117" s="8" t="s">
        <v>958</v>
      </c>
      <c r="M117" s="8"/>
    </row>
    <row r="118" spans="2:13" x14ac:dyDescent="0.25">
      <c r="B118" s="8"/>
      <c r="C118" s="8"/>
      <c r="D118" s="105" t="s">
        <v>857</v>
      </c>
      <c r="E118" s="8" t="s">
        <v>858</v>
      </c>
      <c r="F118" s="179">
        <v>0.159</v>
      </c>
      <c r="G118" s="179">
        <v>0.159</v>
      </c>
      <c r="H118" s="155" t="s">
        <v>1004</v>
      </c>
      <c r="I118" s="156" t="s">
        <v>1006</v>
      </c>
      <c r="J118" s="183">
        <v>0.159</v>
      </c>
      <c r="K118" s="183"/>
      <c r="L118" s="8" t="s">
        <v>958</v>
      </c>
      <c r="M118" s="8"/>
    </row>
    <row r="119" spans="2:13" x14ac:dyDescent="0.25">
      <c r="B119" s="8"/>
      <c r="C119" s="8"/>
      <c r="D119" s="13" t="s">
        <v>864</v>
      </c>
      <c r="E119" s="8" t="s">
        <v>865</v>
      </c>
      <c r="F119" s="179">
        <v>0.97899999999999998</v>
      </c>
      <c r="G119" s="179">
        <v>0.97899999999999998</v>
      </c>
      <c r="H119" s="155" t="s">
        <v>1004</v>
      </c>
      <c r="I119" s="156" t="s">
        <v>1006</v>
      </c>
      <c r="J119" s="183">
        <v>0.97899999999999998</v>
      </c>
      <c r="K119" s="183"/>
      <c r="L119" s="8" t="s">
        <v>958</v>
      </c>
      <c r="M119" s="8"/>
    </row>
    <row r="120" spans="2:13" x14ac:dyDescent="0.25">
      <c r="B120" s="8"/>
      <c r="C120" s="8"/>
      <c r="D120" s="13" t="s">
        <v>867</v>
      </c>
      <c r="E120" s="8" t="s">
        <v>866</v>
      </c>
      <c r="F120" s="179">
        <v>1.137</v>
      </c>
      <c r="G120" s="179">
        <v>1.137</v>
      </c>
      <c r="H120" s="155" t="s">
        <v>1004</v>
      </c>
      <c r="I120" s="156" t="s">
        <v>1006</v>
      </c>
      <c r="J120" s="183">
        <v>1.137</v>
      </c>
      <c r="K120" s="183"/>
      <c r="L120" s="8" t="s">
        <v>958</v>
      </c>
      <c r="M120" s="8"/>
    </row>
    <row r="121" spans="2:13" x14ac:dyDescent="0.25">
      <c r="B121" s="8"/>
      <c r="C121" s="8"/>
      <c r="D121" s="13" t="s">
        <v>1081</v>
      </c>
      <c r="E121" s="8" t="s">
        <v>1083</v>
      </c>
      <c r="F121" s="51">
        <v>0.30199999999999999</v>
      </c>
      <c r="G121" s="51">
        <v>0.30199999999999999</v>
      </c>
      <c r="H121" s="155" t="s">
        <v>1004</v>
      </c>
      <c r="I121" s="156" t="s">
        <v>1006</v>
      </c>
      <c r="J121" s="51">
        <v>0.30199999999999999</v>
      </c>
      <c r="K121" s="183"/>
      <c r="L121" s="8" t="s">
        <v>958</v>
      </c>
      <c r="M121" s="123" t="s">
        <v>1178</v>
      </c>
    </row>
    <row r="122" spans="2:13" x14ac:dyDescent="0.25">
      <c r="B122" s="8"/>
      <c r="C122" s="8"/>
      <c r="D122" s="13" t="s">
        <v>1179</v>
      </c>
      <c r="E122" s="8" t="s">
        <v>1082</v>
      </c>
      <c r="F122" s="51">
        <v>0.51</v>
      </c>
      <c r="G122" s="51">
        <v>0.51</v>
      </c>
      <c r="H122" s="178" t="s">
        <v>1004</v>
      </c>
      <c r="I122" s="156" t="s">
        <v>1006</v>
      </c>
      <c r="J122" s="51">
        <v>0.51</v>
      </c>
      <c r="K122" s="183"/>
      <c r="L122" s="8" t="s">
        <v>958</v>
      </c>
      <c r="M122" s="123"/>
    </row>
    <row r="123" spans="2:13" x14ac:dyDescent="0.25">
      <c r="B123" s="8"/>
      <c r="C123" s="8"/>
      <c r="D123" s="13" t="s">
        <v>933</v>
      </c>
      <c r="E123" s="8" t="s">
        <v>932</v>
      </c>
      <c r="F123" s="51">
        <v>1.9279999999999999</v>
      </c>
      <c r="G123" s="51">
        <v>1.9279999999999999</v>
      </c>
      <c r="H123" s="155" t="s">
        <v>1004</v>
      </c>
      <c r="I123" s="156" t="s">
        <v>1006</v>
      </c>
      <c r="J123" s="51">
        <v>1.9279999999999999</v>
      </c>
      <c r="K123" s="183"/>
      <c r="L123" s="8" t="s">
        <v>958</v>
      </c>
      <c r="M123" s="8"/>
    </row>
    <row r="124" spans="2:13" x14ac:dyDescent="0.25">
      <c r="B124" s="8"/>
      <c r="C124" s="8"/>
      <c r="D124" s="13" t="s">
        <v>934</v>
      </c>
      <c r="E124" s="8" t="s">
        <v>932</v>
      </c>
      <c r="F124" s="179">
        <v>0.29199999999999998</v>
      </c>
      <c r="G124" s="179">
        <v>0.29199999999999998</v>
      </c>
      <c r="H124" s="155" t="s">
        <v>1004</v>
      </c>
      <c r="I124" s="156" t="s">
        <v>1006</v>
      </c>
      <c r="J124" s="183">
        <v>0.29199999999999998</v>
      </c>
      <c r="K124" s="183"/>
      <c r="L124" s="8" t="s">
        <v>958</v>
      </c>
      <c r="M124" s="8"/>
    </row>
    <row r="125" spans="2:13" x14ac:dyDescent="0.25">
      <c r="B125" s="8"/>
      <c r="C125" s="8"/>
      <c r="D125" s="13" t="s">
        <v>862</v>
      </c>
      <c r="E125" s="8" t="s">
        <v>863</v>
      </c>
      <c r="F125" s="179">
        <v>1.321</v>
      </c>
      <c r="G125" s="179">
        <v>1.321</v>
      </c>
      <c r="H125" s="155" t="s">
        <v>1004</v>
      </c>
      <c r="I125" s="156" t="s">
        <v>1006</v>
      </c>
      <c r="J125" s="183">
        <v>1.321</v>
      </c>
      <c r="K125" s="183"/>
      <c r="L125" s="8" t="s">
        <v>958</v>
      </c>
      <c r="M125" s="8"/>
    </row>
    <row r="126" spans="2:13" x14ac:dyDescent="0.25">
      <c r="B126" s="8"/>
      <c r="C126" s="8"/>
      <c r="D126" s="14" t="s">
        <v>1085</v>
      </c>
      <c r="E126" s="8" t="s">
        <v>1084</v>
      </c>
      <c r="F126" s="179">
        <v>1.135</v>
      </c>
      <c r="G126" s="179">
        <v>1.135</v>
      </c>
      <c r="H126" s="155" t="s">
        <v>1004</v>
      </c>
      <c r="I126" s="156" t="s">
        <v>1006</v>
      </c>
      <c r="J126" s="183">
        <v>1.135</v>
      </c>
      <c r="K126" s="183"/>
      <c r="L126" s="8" t="s">
        <v>958</v>
      </c>
      <c r="M126" s="8"/>
    </row>
    <row r="127" spans="2:13" x14ac:dyDescent="0.25">
      <c r="B127" s="8"/>
      <c r="C127" s="8"/>
      <c r="D127" s="13" t="s">
        <v>908</v>
      </c>
      <c r="E127" s="8" t="s">
        <v>909</v>
      </c>
      <c r="F127" s="51">
        <v>1.1499999999999999</v>
      </c>
      <c r="G127" s="51">
        <v>1.1499999999999999</v>
      </c>
      <c r="H127" s="155" t="s">
        <v>1004</v>
      </c>
      <c r="I127" s="156" t="s">
        <v>1006</v>
      </c>
      <c r="J127" s="51">
        <v>1.1499999999999999</v>
      </c>
      <c r="K127" s="183"/>
      <c r="L127" s="8" t="s">
        <v>958</v>
      </c>
      <c r="M127" s="8"/>
    </row>
    <row r="128" spans="2:13" x14ac:dyDescent="0.25">
      <c r="B128" s="8"/>
      <c r="C128" s="8"/>
      <c r="D128" s="13" t="s">
        <v>910</v>
      </c>
      <c r="E128" s="8" t="s">
        <v>911</v>
      </c>
      <c r="F128" s="51">
        <v>0.75</v>
      </c>
      <c r="G128" s="51">
        <v>0.75</v>
      </c>
      <c r="H128" s="155" t="s">
        <v>1004</v>
      </c>
      <c r="I128" s="156" t="s">
        <v>1006</v>
      </c>
      <c r="J128" s="51">
        <v>0.75</v>
      </c>
      <c r="K128" s="183"/>
      <c r="L128" s="8" t="s">
        <v>958</v>
      </c>
      <c r="M128" s="8"/>
    </row>
    <row r="129" spans="2:13" x14ac:dyDescent="0.25">
      <c r="B129" s="8"/>
      <c r="C129" s="8"/>
      <c r="D129" s="13" t="s">
        <v>148</v>
      </c>
      <c r="E129" s="8"/>
      <c r="F129" s="179">
        <v>3.4780000000000002</v>
      </c>
      <c r="G129" s="179">
        <v>3.4780000000000002</v>
      </c>
      <c r="H129" s="155" t="s">
        <v>1004</v>
      </c>
      <c r="I129" s="156" t="s">
        <v>1006</v>
      </c>
      <c r="J129" s="183">
        <v>3.4780000000000002</v>
      </c>
      <c r="K129" s="183"/>
      <c r="L129" s="8" t="s">
        <v>958</v>
      </c>
      <c r="M129" s="8"/>
    </row>
    <row r="130" spans="2:13" x14ac:dyDescent="0.25">
      <c r="B130" s="8"/>
      <c r="C130" s="8"/>
      <c r="D130" s="8"/>
      <c r="E130" s="93" t="s">
        <v>89</v>
      </c>
      <c r="F130" s="43">
        <f>SUM(F110:F129)</f>
        <v>19.347000000000001</v>
      </c>
      <c r="G130" s="43">
        <f>SUM(G110:G129)</f>
        <v>19.347000000000001</v>
      </c>
      <c r="H130" s="8"/>
      <c r="I130" s="8"/>
      <c r="J130" s="8"/>
      <c r="K130" s="8"/>
      <c r="L130" s="8"/>
      <c r="M130" s="8"/>
    </row>
    <row r="131" spans="2:13" x14ac:dyDescent="0.25">
      <c r="B131" s="8"/>
      <c r="C131" s="8"/>
      <c r="D131" s="34" t="s">
        <v>1080</v>
      </c>
      <c r="E131" s="8" t="s">
        <v>943</v>
      </c>
      <c r="F131" s="53">
        <v>11.11</v>
      </c>
      <c r="G131" s="53">
        <v>11.11</v>
      </c>
      <c r="H131" s="155" t="s">
        <v>1004</v>
      </c>
      <c r="I131" s="156" t="s">
        <v>1006</v>
      </c>
      <c r="J131" s="163"/>
      <c r="K131" s="83">
        <v>11.11</v>
      </c>
      <c r="L131" s="8" t="s">
        <v>958</v>
      </c>
      <c r="M131" s="122" t="s">
        <v>1021</v>
      </c>
    </row>
    <row r="132" spans="2:13" x14ac:dyDescent="0.25">
      <c r="B132" s="8"/>
      <c r="C132" s="8"/>
      <c r="D132" s="72" t="s">
        <v>944</v>
      </c>
      <c r="E132" s="8"/>
      <c r="F132" s="8"/>
      <c r="G132" s="8"/>
      <c r="H132" s="8"/>
      <c r="I132" s="8"/>
      <c r="J132" s="8"/>
      <c r="K132" s="123"/>
      <c r="L132" s="8"/>
      <c r="M132" s="8"/>
    </row>
    <row r="133" spans="2:13" x14ac:dyDescent="0.25">
      <c r="B133" s="8"/>
      <c r="C133" s="8"/>
      <c r="D133" s="13" t="s">
        <v>976</v>
      </c>
      <c r="E133" s="8" t="s">
        <v>945</v>
      </c>
      <c r="F133" s="179">
        <v>1.2270000000000001</v>
      </c>
      <c r="G133" s="179">
        <v>1.2270000000000001</v>
      </c>
      <c r="H133" s="155" t="s">
        <v>1004</v>
      </c>
      <c r="I133" s="156" t="s">
        <v>1006</v>
      </c>
      <c r="J133" s="183">
        <v>1.2270000000000001</v>
      </c>
      <c r="K133" s="55"/>
      <c r="L133" s="8" t="s">
        <v>958</v>
      </c>
      <c r="M133" s="8"/>
    </row>
    <row r="134" spans="2:13" x14ac:dyDescent="0.25">
      <c r="B134" s="8"/>
      <c r="C134" s="8"/>
      <c r="D134" s="14" t="s">
        <v>947</v>
      </c>
      <c r="E134" s="8" t="s">
        <v>948</v>
      </c>
      <c r="F134" s="179">
        <v>0.92900000000000005</v>
      </c>
      <c r="G134" s="179">
        <v>0.92900000000000005</v>
      </c>
      <c r="H134" s="155" t="s">
        <v>1004</v>
      </c>
      <c r="I134" s="156" t="s">
        <v>1006</v>
      </c>
      <c r="J134" s="183">
        <v>0.92900000000000005</v>
      </c>
      <c r="K134" s="55"/>
      <c r="L134" s="8" t="s">
        <v>958</v>
      </c>
      <c r="M134" s="8"/>
    </row>
    <row r="135" spans="2:13" x14ac:dyDescent="0.25">
      <c r="B135" s="8"/>
      <c r="C135" s="8"/>
      <c r="D135" s="14" t="s">
        <v>455</v>
      </c>
      <c r="E135" s="8" t="s">
        <v>949</v>
      </c>
      <c r="F135" s="179">
        <v>0.85299999999999998</v>
      </c>
      <c r="G135" s="179">
        <v>0.85299999999999998</v>
      </c>
      <c r="H135" s="155" t="s">
        <v>1004</v>
      </c>
      <c r="I135" s="156" t="s">
        <v>1006</v>
      </c>
      <c r="J135" s="183">
        <v>0.85299999999999998</v>
      </c>
      <c r="K135" s="55"/>
      <c r="L135" s="8" t="s">
        <v>958</v>
      </c>
      <c r="M135" s="8"/>
    </row>
    <row r="136" spans="2:13" x14ac:dyDescent="0.25">
      <c r="B136" s="8"/>
      <c r="C136" s="8"/>
      <c r="D136" s="14" t="s">
        <v>776</v>
      </c>
      <c r="E136" s="8" t="s">
        <v>950</v>
      </c>
      <c r="F136" s="179">
        <v>0.50700000000000001</v>
      </c>
      <c r="G136" s="179">
        <v>0.50700000000000001</v>
      </c>
      <c r="H136" s="155" t="s">
        <v>1004</v>
      </c>
      <c r="I136" s="156" t="s">
        <v>1006</v>
      </c>
      <c r="J136" s="183">
        <v>0.50700000000000001</v>
      </c>
      <c r="K136" s="55"/>
      <c r="L136" s="8" t="s">
        <v>958</v>
      </c>
      <c r="M136" s="8"/>
    </row>
    <row r="137" spans="2:13" x14ac:dyDescent="0.25">
      <c r="B137" s="8"/>
      <c r="C137" s="8"/>
      <c r="D137" s="14" t="s">
        <v>974</v>
      </c>
      <c r="E137" s="8" t="s">
        <v>946</v>
      </c>
      <c r="F137" s="179">
        <v>1.226</v>
      </c>
      <c r="G137" s="179">
        <v>1.226</v>
      </c>
      <c r="H137" s="155" t="s">
        <v>1004</v>
      </c>
      <c r="I137" s="156" t="s">
        <v>1006</v>
      </c>
      <c r="J137" s="183">
        <v>1.226</v>
      </c>
      <c r="K137" s="55"/>
      <c r="L137" s="8" t="s">
        <v>958</v>
      </c>
      <c r="M137" s="8"/>
    </row>
    <row r="138" spans="2:13" x14ac:dyDescent="0.25">
      <c r="B138" s="8"/>
      <c r="C138" s="8"/>
      <c r="D138" s="13" t="s">
        <v>952</v>
      </c>
      <c r="E138" s="8" t="s">
        <v>953</v>
      </c>
      <c r="F138" s="179">
        <v>0.97099999999999997</v>
      </c>
      <c r="G138" s="179">
        <v>0.97099999999999997</v>
      </c>
      <c r="H138" s="155" t="s">
        <v>1004</v>
      </c>
      <c r="I138" s="156" t="s">
        <v>1006</v>
      </c>
      <c r="J138" s="183">
        <v>0.97099999999999997</v>
      </c>
      <c r="K138" s="55"/>
      <c r="L138" s="8" t="s">
        <v>958</v>
      </c>
      <c r="M138" s="8"/>
    </row>
    <row r="139" spans="2:13" x14ac:dyDescent="0.25">
      <c r="B139" s="8"/>
      <c r="C139" s="8"/>
      <c r="D139" s="13" t="s">
        <v>38</v>
      </c>
      <c r="E139" s="8" t="s">
        <v>951</v>
      </c>
      <c r="F139" s="179">
        <v>0.92100000000000004</v>
      </c>
      <c r="G139" s="179">
        <v>0.92100000000000004</v>
      </c>
      <c r="H139" s="155" t="s">
        <v>1004</v>
      </c>
      <c r="I139" s="156" t="s">
        <v>1006</v>
      </c>
      <c r="J139" s="183">
        <v>0.92100000000000004</v>
      </c>
      <c r="K139" s="55"/>
      <c r="L139" s="8" t="s">
        <v>958</v>
      </c>
      <c r="M139" s="8"/>
    </row>
    <row r="140" spans="2:13" x14ac:dyDescent="0.25">
      <c r="B140" s="8"/>
      <c r="C140" s="8"/>
      <c r="D140" s="13" t="s">
        <v>148</v>
      </c>
      <c r="E140" s="8"/>
      <c r="F140" s="179">
        <v>1.147</v>
      </c>
      <c r="G140" s="179">
        <v>1.147</v>
      </c>
      <c r="H140" s="155" t="s">
        <v>1004</v>
      </c>
      <c r="I140" s="156" t="s">
        <v>1006</v>
      </c>
      <c r="J140" s="183">
        <v>1.147</v>
      </c>
      <c r="K140" s="55"/>
      <c r="L140" s="8" t="s">
        <v>958</v>
      </c>
      <c r="M140" s="8"/>
    </row>
    <row r="141" spans="2:13" x14ac:dyDescent="0.25">
      <c r="B141" s="8"/>
      <c r="C141" s="8"/>
      <c r="D141" s="8"/>
      <c r="E141" s="108" t="s">
        <v>89</v>
      </c>
      <c r="F141" s="43">
        <f>SUM(F133:F140)</f>
        <v>7.7810000000000015</v>
      </c>
      <c r="G141" s="43">
        <f>SUM(G133:G140)</f>
        <v>7.7810000000000015</v>
      </c>
      <c r="H141" s="8"/>
      <c r="I141" s="8"/>
      <c r="J141" s="8"/>
      <c r="K141" s="123"/>
      <c r="L141" s="8"/>
      <c r="M141" s="8"/>
    </row>
    <row r="142" spans="2:13" ht="15.75" thickBot="1" x14ac:dyDescent="0.3">
      <c r="B142" s="8"/>
      <c r="C142" s="8"/>
      <c r="D142" s="34" t="s">
        <v>954</v>
      </c>
      <c r="E142" s="108" t="s">
        <v>955</v>
      </c>
      <c r="F142" s="53">
        <v>3.1920000000000002</v>
      </c>
      <c r="G142" s="53">
        <v>3.1920000000000002</v>
      </c>
      <c r="H142" s="8"/>
      <c r="I142" s="8"/>
      <c r="J142" s="8"/>
      <c r="K142" s="83">
        <v>3.1920000000000002</v>
      </c>
      <c r="L142" s="8"/>
      <c r="M142" s="149" t="s">
        <v>1022</v>
      </c>
    </row>
    <row r="143" spans="2:13" s="11" customFormat="1" ht="15.75" thickBot="1" x14ac:dyDescent="0.3">
      <c r="E143" s="95" t="s">
        <v>705</v>
      </c>
      <c r="F143" s="104">
        <f>SUM(F62,F99,F130,F141,F131,F142)</f>
        <v>91.361999999999995</v>
      </c>
      <c r="G143" s="104">
        <f>SUM(G62,G99,G130,G141,G131,G142)</f>
        <v>91.361999999999995</v>
      </c>
      <c r="I143" s="203" t="s">
        <v>11</v>
      </c>
      <c r="J143" s="215">
        <f>SUM(J9:J62,J73:J99,J110:J142)</f>
        <v>77.060000000000016</v>
      </c>
      <c r="K143" s="215">
        <f>SUM(K9:K62,K73:K99,K110:K142)</f>
        <v>14.302</v>
      </c>
      <c r="L143" s="61" t="s">
        <v>1035</v>
      </c>
      <c r="M143" s="219">
        <f>J143+K143</f>
        <v>91.362000000000023</v>
      </c>
    </row>
    <row r="144" spans="2:13" s="11" customFormat="1" x14ac:dyDescent="0.25">
      <c r="B144" s="129" t="s">
        <v>30</v>
      </c>
      <c r="E144" s="110"/>
      <c r="F144" s="141"/>
      <c r="I144" s="205" t="s">
        <v>1104</v>
      </c>
      <c r="J144" s="206">
        <f>SUM(J9:J61,J73:J98,J110:J140)*1000*5</f>
        <v>385300.00000000006</v>
      </c>
      <c r="K144" s="206">
        <f>SUM(K131:K142)*1000*6</f>
        <v>85812</v>
      </c>
      <c r="L144" s="213" t="s">
        <v>1155</v>
      </c>
    </row>
    <row r="145" spans="2:12" x14ac:dyDescent="0.25">
      <c r="C145" s="129"/>
      <c r="D145" s="129"/>
      <c r="E145" s="140" t="s">
        <v>1002</v>
      </c>
      <c r="F145" s="177">
        <f>F143</f>
        <v>91.361999999999995</v>
      </c>
      <c r="G145" s="177">
        <f>G143</f>
        <v>91.361999999999995</v>
      </c>
      <c r="H145" s="129"/>
      <c r="I145" s="208"/>
      <c r="J145" s="209" t="s">
        <v>1105</v>
      </c>
      <c r="K145" s="210">
        <f>J144+K144</f>
        <v>471112.00000000006</v>
      </c>
      <c r="L145" s="211"/>
    </row>
    <row r="146" spans="2:12" x14ac:dyDescent="0.25">
      <c r="B146" s="157" t="s">
        <v>1007</v>
      </c>
      <c r="I146" s="194"/>
      <c r="J146" s="186" t="s">
        <v>1126</v>
      </c>
      <c r="K146" s="184">
        <f>SUM(K145/10000)</f>
        <v>47.111200000000004</v>
      </c>
      <c r="L146" s="185" t="s">
        <v>1107</v>
      </c>
    </row>
    <row r="147" spans="2:12" x14ac:dyDescent="0.25">
      <c r="I147" s="194"/>
      <c r="J147" s="186" t="s">
        <v>1125</v>
      </c>
      <c r="K147" s="184">
        <f>K146</f>
        <v>47.111200000000004</v>
      </c>
      <c r="L147" s="185" t="s">
        <v>1107</v>
      </c>
    </row>
    <row r="148" spans="2:12" x14ac:dyDescent="0.25">
      <c r="I148" s="193"/>
      <c r="J148" s="188" t="s">
        <v>1108</v>
      </c>
      <c r="K148" s="184">
        <v>4</v>
      </c>
      <c r="L148" s="185" t="s">
        <v>1109</v>
      </c>
    </row>
    <row r="149" spans="2:12" x14ac:dyDescent="0.25">
      <c r="I149" s="193"/>
      <c r="J149" s="188" t="s">
        <v>1110</v>
      </c>
      <c r="K149" s="184">
        <v>1.8</v>
      </c>
      <c r="L149" s="185" t="s">
        <v>1109</v>
      </c>
    </row>
    <row r="150" spans="2:12" x14ac:dyDescent="0.25">
      <c r="I150" s="192"/>
      <c r="J150" s="188" t="s">
        <v>1111</v>
      </c>
      <c r="K150" s="184">
        <v>300</v>
      </c>
      <c r="L150" s="185" t="s">
        <v>1109</v>
      </c>
    </row>
    <row r="151" spans="2:12" x14ac:dyDescent="0.25">
      <c r="I151" s="192"/>
      <c r="J151" s="189" t="s">
        <v>1115</v>
      </c>
      <c r="K151" s="191">
        <f>K$146*K148</f>
        <v>188.44480000000001</v>
      </c>
      <c r="L151" s="187" t="s">
        <v>1112</v>
      </c>
    </row>
    <row r="152" spans="2:12" x14ac:dyDescent="0.25">
      <c r="I152" s="70"/>
      <c r="J152" s="189" t="s">
        <v>1116</v>
      </c>
      <c r="K152" s="191">
        <f>K147*K149</f>
        <v>84.800160000000005</v>
      </c>
      <c r="L152" s="187" t="s">
        <v>1112</v>
      </c>
    </row>
    <row r="153" spans="2:12" x14ac:dyDescent="0.25">
      <c r="I153" s="70"/>
      <c r="J153" s="190" t="s">
        <v>1113</v>
      </c>
      <c r="K153" s="191">
        <f>K146*K150/1000</f>
        <v>14.13336</v>
      </c>
      <c r="L153" s="187" t="s">
        <v>1114</v>
      </c>
    </row>
  </sheetData>
  <mergeCells count="21">
    <mergeCell ref="B66:M66"/>
    <mergeCell ref="B67:H67"/>
    <mergeCell ref="I67:M67"/>
    <mergeCell ref="B68:M68"/>
    <mergeCell ref="B69:D69"/>
    <mergeCell ref="E69:I69"/>
    <mergeCell ref="J69:M69"/>
    <mergeCell ref="B103:M103"/>
    <mergeCell ref="B104:H104"/>
    <mergeCell ref="I104:M104"/>
    <mergeCell ref="B105:M105"/>
    <mergeCell ref="B106:D106"/>
    <mergeCell ref="E106:I106"/>
    <mergeCell ref="J106:M106"/>
    <mergeCell ref="B2:M2"/>
    <mergeCell ref="B3:H3"/>
    <mergeCell ref="I3:M3"/>
    <mergeCell ref="B4:M4"/>
    <mergeCell ref="B5:D5"/>
    <mergeCell ref="E5:I5"/>
    <mergeCell ref="J5:M5"/>
  </mergeCells>
  <printOptions horizontalCentered="1"/>
  <pageMargins left="0.25" right="0.25" top="0.75" bottom="0.75" header="0.3" footer="0.3"/>
  <pageSetup paperSize="9" scale="78" fitToHeight="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B1:N68"/>
  <sheetViews>
    <sheetView topLeftCell="A37" workbookViewId="0">
      <selection activeCell="J36" sqref="J36:J55"/>
    </sheetView>
  </sheetViews>
  <sheetFormatPr defaultRowHeight="15" x14ac:dyDescent="0.25"/>
  <cols>
    <col min="2" max="2" width="12.85546875" customWidth="1"/>
    <col min="3" max="3" width="12.7109375" customWidth="1"/>
    <col min="4" max="4" width="27.7109375" customWidth="1"/>
    <col min="5" max="5" width="17.7109375" customWidth="1"/>
    <col min="6" max="7" width="10.7109375" customWidth="1"/>
    <col min="8" max="8" width="9.85546875" bestFit="1" customWidth="1"/>
    <col min="9" max="9" width="19.7109375" customWidth="1"/>
    <col min="10" max="10" width="9.5703125" bestFit="1" customWidth="1"/>
    <col min="11" max="11" width="9.5703125" customWidth="1"/>
    <col min="12" max="12" width="19.28515625" bestFit="1" customWidth="1"/>
    <col min="13" max="13" width="17.140625" customWidth="1"/>
    <col min="14" max="14" width="22.140625" customWidth="1"/>
  </cols>
  <sheetData>
    <row r="1" spans="2:14" ht="15.75" thickBot="1" x14ac:dyDescent="0.3"/>
    <row r="2" spans="2:14" ht="19.5" thickBot="1" x14ac:dyDescent="0.3">
      <c r="B2" s="349" t="s">
        <v>18</v>
      </c>
      <c r="C2" s="350"/>
      <c r="D2" s="350"/>
      <c r="E2" s="350"/>
      <c r="F2" s="350"/>
      <c r="G2" s="350"/>
      <c r="H2" s="350"/>
      <c r="I2" s="350"/>
      <c r="J2" s="350"/>
      <c r="K2" s="350"/>
      <c r="L2" s="350"/>
      <c r="M2" s="351"/>
      <c r="N2" s="230"/>
    </row>
    <row r="3" spans="2:14" x14ac:dyDescent="0.25">
      <c r="B3" s="357" t="s">
        <v>19</v>
      </c>
      <c r="C3" s="355"/>
      <c r="D3" s="355"/>
      <c r="E3" s="355"/>
      <c r="F3" s="355"/>
      <c r="G3" s="355"/>
      <c r="H3" s="355"/>
      <c r="I3" s="355" t="s">
        <v>1003</v>
      </c>
      <c r="J3" s="355"/>
      <c r="K3" s="355"/>
      <c r="L3" s="355"/>
      <c r="M3" s="356"/>
      <c r="N3" s="231"/>
    </row>
    <row r="4" spans="2:14" x14ac:dyDescent="0.25">
      <c r="B4" s="352"/>
      <c r="C4" s="353"/>
      <c r="D4" s="353"/>
      <c r="E4" s="353"/>
      <c r="F4" s="353"/>
      <c r="G4" s="353"/>
      <c r="H4" s="353"/>
      <c r="I4" s="353"/>
      <c r="J4" s="353"/>
      <c r="K4" s="353"/>
      <c r="L4" s="353"/>
      <c r="M4" s="354"/>
      <c r="N4" s="232"/>
    </row>
    <row r="5" spans="2:14" ht="15.75" thickBot="1" x14ac:dyDescent="0.3">
      <c r="B5" s="358" t="s">
        <v>22</v>
      </c>
      <c r="C5" s="359"/>
      <c r="D5" s="359"/>
      <c r="E5" s="359" t="s">
        <v>1073</v>
      </c>
      <c r="F5" s="359"/>
      <c r="G5" s="359"/>
      <c r="H5" s="359"/>
      <c r="I5" s="359"/>
      <c r="J5" s="359" t="s">
        <v>1074</v>
      </c>
      <c r="K5" s="359"/>
      <c r="L5" s="359"/>
      <c r="M5" s="360"/>
      <c r="N5" s="233"/>
    </row>
    <row r="6" spans="2:14" ht="30"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c r="N6" s="195" t="s">
        <v>1185</v>
      </c>
    </row>
    <row r="7" spans="2:14" x14ac:dyDescent="0.25">
      <c r="B7" s="9"/>
      <c r="C7" s="9"/>
      <c r="D7" s="48" t="s">
        <v>398</v>
      </c>
      <c r="E7" s="78"/>
      <c r="F7" s="79"/>
      <c r="G7" s="150"/>
      <c r="H7" s="78"/>
      <c r="I7" s="79"/>
      <c r="J7" s="150"/>
      <c r="K7" s="150"/>
      <c r="L7" s="9"/>
      <c r="M7" s="9"/>
      <c r="N7" s="234"/>
    </row>
    <row r="8" spans="2:14" x14ac:dyDescent="0.25">
      <c r="B8" s="9"/>
      <c r="C8" s="9"/>
      <c r="D8" s="34" t="s">
        <v>90</v>
      </c>
      <c r="E8" s="8" t="s">
        <v>206</v>
      </c>
      <c r="F8" s="50">
        <f>7.524*2</f>
        <v>15.048</v>
      </c>
      <c r="G8" s="50">
        <f>7.524*2</f>
        <v>15.048</v>
      </c>
      <c r="H8" s="155">
        <v>2</v>
      </c>
      <c r="I8" s="156" t="s">
        <v>1005</v>
      </c>
      <c r="J8" s="163"/>
      <c r="K8" s="133">
        <f>7.524*2</f>
        <v>15.048</v>
      </c>
      <c r="L8" s="8" t="s">
        <v>957</v>
      </c>
      <c r="M8" s="122" t="s">
        <v>1023</v>
      </c>
      <c r="N8" s="113"/>
    </row>
    <row r="9" spans="2:14" x14ac:dyDescent="0.25">
      <c r="B9" s="8"/>
      <c r="C9" s="8"/>
      <c r="D9" s="72" t="s">
        <v>91</v>
      </c>
      <c r="E9" s="8"/>
      <c r="F9" s="179"/>
      <c r="G9" s="179"/>
      <c r="H9" s="8"/>
      <c r="I9" s="8"/>
      <c r="J9" s="8"/>
      <c r="K9" s="8"/>
      <c r="L9" s="8"/>
      <c r="M9" s="8"/>
      <c r="N9" s="113"/>
    </row>
    <row r="10" spans="2:14" x14ac:dyDescent="0.25">
      <c r="B10" s="8"/>
      <c r="C10" s="8"/>
      <c r="D10" s="13" t="s">
        <v>62</v>
      </c>
      <c r="E10" s="8" t="s">
        <v>210</v>
      </c>
      <c r="F10" s="179">
        <v>1.0720000000000001</v>
      </c>
      <c r="G10" s="179">
        <v>1.0720000000000001</v>
      </c>
      <c r="H10" s="155">
        <v>2</v>
      </c>
      <c r="I10" s="156" t="s">
        <v>1005</v>
      </c>
      <c r="J10" s="183">
        <v>1.0720000000000001</v>
      </c>
      <c r="K10" s="183"/>
      <c r="L10" s="8" t="s">
        <v>957</v>
      </c>
      <c r="M10" s="8"/>
      <c r="N10" s="113"/>
    </row>
    <row r="11" spans="2:14" x14ac:dyDescent="0.25">
      <c r="B11" s="8"/>
      <c r="C11" s="8"/>
      <c r="D11" s="13" t="s">
        <v>33</v>
      </c>
      <c r="E11" s="8" t="s">
        <v>207</v>
      </c>
      <c r="F11" s="51">
        <v>0.748</v>
      </c>
      <c r="G11" s="51">
        <v>0.748</v>
      </c>
      <c r="H11" s="155">
        <v>2</v>
      </c>
      <c r="I11" s="156" t="s">
        <v>1005</v>
      </c>
      <c r="J11" s="51">
        <v>0.748</v>
      </c>
      <c r="K11" s="183"/>
      <c r="L11" s="8" t="s">
        <v>957</v>
      </c>
      <c r="M11" s="8"/>
      <c r="N11" s="113"/>
    </row>
    <row r="12" spans="2:14" x14ac:dyDescent="0.25">
      <c r="B12" s="8"/>
      <c r="C12" s="8"/>
      <c r="D12" s="13" t="s">
        <v>34</v>
      </c>
      <c r="E12" s="8" t="s">
        <v>208</v>
      </c>
      <c r="F12" s="179">
        <v>0.252</v>
      </c>
      <c r="G12" s="179">
        <v>0.252</v>
      </c>
      <c r="H12" s="155">
        <v>2</v>
      </c>
      <c r="I12" s="156" t="s">
        <v>1005</v>
      </c>
      <c r="J12" s="183">
        <v>0.252</v>
      </c>
      <c r="K12" s="183"/>
      <c r="L12" s="8" t="s">
        <v>957</v>
      </c>
      <c r="M12" s="8"/>
      <c r="N12" s="113"/>
    </row>
    <row r="13" spans="2:14" x14ac:dyDescent="0.25">
      <c r="B13" s="8"/>
      <c r="C13" s="8"/>
      <c r="D13" s="13" t="s">
        <v>61</v>
      </c>
      <c r="E13" s="8" t="s">
        <v>209</v>
      </c>
      <c r="F13" s="179">
        <v>1.0720000000000001</v>
      </c>
      <c r="G13" s="179">
        <v>1.0720000000000001</v>
      </c>
      <c r="H13" s="155">
        <v>2</v>
      </c>
      <c r="I13" s="156" t="s">
        <v>1005</v>
      </c>
      <c r="J13" s="183">
        <v>1.0720000000000001</v>
      </c>
      <c r="K13" s="183"/>
      <c r="L13" s="8" t="s">
        <v>957</v>
      </c>
      <c r="M13" s="8"/>
      <c r="N13" s="113"/>
    </row>
    <row r="14" spans="2:14" x14ac:dyDescent="0.25">
      <c r="B14" s="8"/>
      <c r="C14" s="8"/>
      <c r="D14" s="13" t="s">
        <v>35</v>
      </c>
      <c r="E14" s="8" t="s">
        <v>207</v>
      </c>
      <c r="F14" s="179">
        <v>0.78100000000000003</v>
      </c>
      <c r="G14" s="179">
        <v>0.78100000000000003</v>
      </c>
      <c r="H14" s="155">
        <v>2</v>
      </c>
      <c r="I14" s="156" t="s">
        <v>1005</v>
      </c>
      <c r="J14" s="183">
        <v>0.78100000000000003</v>
      </c>
      <c r="K14" s="183"/>
      <c r="L14" s="8" t="s">
        <v>957</v>
      </c>
      <c r="M14" s="8"/>
      <c r="N14" s="113"/>
    </row>
    <row r="15" spans="2:14" x14ac:dyDescent="0.25">
      <c r="B15" s="8"/>
      <c r="C15" s="8"/>
      <c r="D15" s="13" t="s">
        <v>148</v>
      </c>
      <c r="E15" s="8"/>
      <c r="F15" s="179">
        <v>0.85599999999999998</v>
      </c>
      <c r="G15" s="179">
        <v>0.85599999999999998</v>
      </c>
      <c r="H15" s="155">
        <v>2</v>
      </c>
      <c r="I15" s="156" t="s">
        <v>1005</v>
      </c>
      <c r="J15" s="183">
        <v>0.85599999999999998</v>
      </c>
      <c r="K15" s="183"/>
      <c r="L15" s="8" t="s">
        <v>957</v>
      </c>
      <c r="M15" s="8"/>
      <c r="N15" s="113"/>
    </row>
    <row r="16" spans="2:14" x14ac:dyDescent="0.25">
      <c r="B16" s="8"/>
      <c r="C16" s="8"/>
      <c r="D16" s="8"/>
      <c r="E16" s="56" t="s">
        <v>89</v>
      </c>
      <c r="F16" s="43">
        <f>SUM(F10:F15)</f>
        <v>4.7810000000000006</v>
      </c>
      <c r="G16" s="43">
        <f>SUM(G10:G15)</f>
        <v>4.7810000000000006</v>
      </c>
      <c r="H16" s="8"/>
      <c r="I16" s="8"/>
      <c r="J16" s="8"/>
      <c r="K16" s="8"/>
      <c r="L16" s="8"/>
      <c r="M16" s="8"/>
      <c r="N16" s="113"/>
    </row>
    <row r="17" spans="2:14" x14ac:dyDescent="0.25">
      <c r="B17" s="8"/>
      <c r="C17" s="8"/>
      <c r="D17" s="34" t="s">
        <v>92</v>
      </c>
      <c r="E17" s="8" t="s">
        <v>211</v>
      </c>
      <c r="F17" s="50">
        <f>10.208*2</f>
        <v>20.416</v>
      </c>
      <c r="G17" s="50">
        <f>10.208*2</f>
        <v>20.416</v>
      </c>
      <c r="H17" s="155">
        <v>2</v>
      </c>
      <c r="I17" s="156" t="s">
        <v>1005</v>
      </c>
      <c r="J17" s="163"/>
      <c r="K17" s="133">
        <f>10.208*2</f>
        <v>20.416</v>
      </c>
      <c r="L17" s="8" t="s">
        <v>957</v>
      </c>
      <c r="M17" s="122" t="s">
        <v>1024</v>
      </c>
      <c r="N17" s="113"/>
    </row>
    <row r="18" spans="2:14" x14ac:dyDescent="0.25">
      <c r="B18" s="8"/>
      <c r="C18" s="8"/>
      <c r="D18" s="72" t="s">
        <v>212</v>
      </c>
      <c r="E18" s="8"/>
      <c r="F18" s="179"/>
      <c r="G18" s="179"/>
      <c r="H18" s="8"/>
      <c r="I18" s="8"/>
      <c r="J18" s="8"/>
      <c r="K18" s="8"/>
      <c r="L18" s="8"/>
      <c r="M18" s="8"/>
      <c r="N18" s="113"/>
    </row>
    <row r="19" spans="2:14" x14ac:dyDescent="0.25">
      <c r="B19" s="8"/>
      <c r="C19" s="8"/>
      <c r="D19" s="13" t="s">
        <v>215</v>
      </c>
      <c r="E19" s="8" t="s">
        <v>213</v>
      </c>
      <c r="F19" s="179">
        <v>1.508</v>
      </c>
      <c r="G19" s="179">
        <v>1.508</v>
      </c>
      <c r="H19" s="155">
        <v>2</v>
      </c>
      <c r="I19" s="156" t="s">
        <v>1005</v>
      </c>
      <c r="J19" s="183">
        <v>1.508</v>
      </c>
      <c r="K19" s="183"/>
      <c r="L19" s="8" t="s">
        <v>957</v>
      </c>
      <c r="M19" s="8"/>
      <c r="N19" s="113"/>
    </row>
    <row r="20" spans="2:14" x14ac:dyDescent="0.25">
      <c r="B20" s="8"/>
      <c r="C20" s="8"/>
      <c r="D20" s="13" t="s">
        <v>384</v>
      </c>
      <c r="E20" s="8" t="s">
        <v>385</v>
      </c>
      <c r="F20" s="179">
        <v>0.39700000000000002</v>
      </c>
      <c r="G20" s="179">
        <v>0.39700000000000002</v>
      </c>
      <c r="H20" s="155">
        <v>2</v>
      </c>
      <c r="I20" s="156" t="s">
        <v>1005</v>
      </c>
      <c r="J20" s="183">
        <v>0.39700000000000002</v>
      </c>
      <c r="K20" s="183"/>
      <c r="L20" s="8" t="s">
        <v>957</v>
      </c>
      <c r="M20" s="8"/>
      <c r="N20" s="113"/>
    </row>
    <row r="21" spans="2:14" x14ac:dyDescent="0.25">
      <c r="B21" s="8"/>
      <c r="C21" s="8"/>
      <c r="D21" s="13" t="s">
        <v>216</v>
      </c>
      <c r="E21" s="8" t="s">
        <v>214</v>
      </c>
      <c r="F21" s="179">
        <v>1.508</v>
      </c>
      <c r="G21" s="179">
        <v>1.508</v>
      </c>
      <c r="H21" s="155">
        <v>2</v>
      </c>
      <c r="I21" s="156" t="s">
        <v>1005</v>
      </c>
      <c r="J21" s="183">
        <v>1.508</v>
      </c>
      <c r="K21" s="183"/>
      <c r="L21" s="8" t="s">
        <v>957</v>
      </c>
      <c r="M21" s="8"/>
      <c r="N21" s="113"/>
    </row>
    <row r="22" spans="2:14" x14ac:dyDescent="0.25">
      <c r="B22" s="8"/>
      <c r="C22" s="8"/>
      <c r="D22" s="13" t="s">
        <v>217</v>
      </c>
      <c r="E22" s="8" t="s">
        <v>218</v>
      </c>
      <c r="F22" s="51">
        <v>0.93</v>
      </c>
      <c r="G22" s="51">
        <v>0.93</v>
      </c>
      <c r="H22" s="155">
        <v>2</v>
      </c>
      <c r="I22" s="156" t="s">
        <v>1005</v>
      </c>
      <c r="J22" s="51">
        <v>0.93</v>
      </c>
      <c r="K22" s="183"/>
      <c r="L22" s="8" t="s">
        <v>957</v>
      </c>
      <c r="M22" s="8"/>
      <c r="N22" s="113"/>
    </row>
    <row r="23" spans="2:14" x14ac:dyDescent="0.25">
      <c r="B23" s="8"/>
      <c r="C23" s="8"/>
      <c r="D23" s="13" t="s">
        <v>186</v>
      </c>
      <c r="E23" s="8" t="s">
        <v>219</v>
      </c>
      <c r="F23" s="179">
        <v>0.311</v>
      </c>
      <c r="G23" s="179">
        <v>0.311</v>
      </c>
      <c r="H23" s="155">
        <v>2</v>
      </c>
      <c r="I23" s="156" t="s">
        <v>1005</v>
      </c>
      <c r="J23" s="183">
        <v>0.311</v>
      </c>
      <c r="K23" s="183"/>
      <c r="L23" s="8" t="s">
        <v>957</v>
      </c>
      <c r="M23" s="8" t="s">
        <v>382</v>
      </c>
      <c r="N23" s="113"/>
    </row>
    <row r="24" spans="2:14" x14ac:dyDescent="0.25">
      <c r="B24" s="8"/>
      <c r="C24" s="8"/>
      <c r="D24" s="13" t="s">
        <v>148</v>
      </c>
      <c r="E24" s="8"/>
      <c r="F24" s="51">
        <v>0.96</v>
      </c>
      <c r="G24" s="51">
        <v>0.96</v>
      </c>
      <c r="H24" s="155">
        <v>2</v>
      </c>
      <c r="I24" s="156" t="s">
        <v>1005</v>
      </c>
      <c r="J24" s="51">
        <v>0.96</v>
      </c>
      <c r="K24" s="183"/>
      <c r="L24" s="8" t="s">
        <v>957</v>
      </c>
      <c r="M24" s="8"/>
      <c r="N24" s="113"/>
    </row>
    <row r="25" spans="2:14" x14ac:dyDescent="0.25">
      <c r="B25" s="8"/>
      <c r="C25" s="8"/>
      <c r="D25" s="8"/>
      <c r="E25" s="56" t="s">
        <v>89</v>
      </c>
      <c r="F25" s="43">
        <f>SUM(F19:F24)</f>
        <v>5.6139999999999999</v>
      </c>
      <c r="G25" s="43">
        <f>SUM(G19:G24)</f>
        <v>5.6139999999999999</v>
      </c>
      <c r="H25" s="8"/>
      <c r="I25" s="8"/>
      <c r="J25" s="8"/>
      <c r="K25" s="8"/>
      <c r="L25" s="8"/>
      <c r="M25" s="8"/>
      <c r="N25" s="113"/>
    </row>
    <row r="26" spans="2:14" x14ac:dyDescent="0.25">
      <c r="B26" s="8"/>
      <c r="C26" s="8"/>
      <c r="D26" s="72" t="s">
        <v>256</v>
      </c>
      <c r="E26" s="8"/>
      <c r="F26" s="179"/>
      <c r="G26" s="179"/>
      <c r="H26" s="8"/>
      <c r="I26" s="8"/>
      <c r="J26" s="8"/>
      <c r="K26" s="8"/>
      <c r="L26" s="8"/>
      <c r="M26" s="8"/>
      <c r="N26" s="113"/>
    </row>
    <row r="27" spans="2:14" x14ac:dyDescent="0.25">
      <c r="B27" s="8"/>
      <c r="C27" s="8"/>
      <c r="D27" s="13" t="s">
        <v>62</v>
      </c>
      <c r="E27" s="8" t="s">
        <v>220</v>
      </c>
      <c r="F27" s="179">
        <v>0.77800000000000002</v>
      </c>
      <c r="G27" s="179">
        <v>0.77800000000000002</v>
      </c>
      <c r="H27" s="155">
        <v>2</v>
      </c>
      <c r="I27" s="156" t="s">
        <v>1005</v>
      </c>
      <c r="J27" s="183">
        <v>0.77800000000000002</v>
      </c>
      <c r="K27" s="183"/>
      <c r="L27" s="8" t="s">
        <v>957</v>
      </c>
      <c r="M27" s="8"/>
      <c r="N27" s="113"/>
    </row>
    <row r="28" spans="2:14" x14ac:dyDescent="0.25">
      <c r="B28" s="8"/>
      <c r="C28" s="8"/>
      <c r="D28" s="13" t="s">
        <v>33</v>
      </c>
      <c r="E28" s="8" t="s">
        <v>221</v>
      </c>
      <c r="F28" s="179">
        <v>0.377</v>
      </c>
      <c r="G28" s="179">
        <v>0.377</v>
      </c>
      <c r="H28" s="155">
        <v>2</v>
      </c>
      <c r="I28" s="156" t="s">
        <v>1005</v>
      </c>
      <c r="J28" s="183">
        <v>0.377</v>
      </c>
      <c r="K28" s="183"/>
      <c r="L28" s="8" t="s">
        <v>957</v>
      </c>
      <c r="M28" s="8"/>
      <c r="N28" s="113"/>
    </row>
    <row r="29" spans="2:14" x14ac:dyDescent="0.25">
      <c r="B29" s="8"/>
      <c r="C29" s="8"/>
      <c r="D29" s="13" t="s">
        <v>383</v>
      </c>
      <c r="E29" s="8" t="s">
        <v>386</v>
      </c>
      <c r="F29" s="179">
        <v>0.38900000000000001</v>
      </c>
      <c r="G29" s="179">
        <v>0.38900000000000001</v>
      </c>
      <c r="H29" s="155">
        <v>2</v>
      </c>
      <c r="I29" s="156" t="s">
        <v>1005</v>
      </c>
      <c r="J29" s="183">
        <v>0.38900000000000001</v>
      </c>
      <c r="K29" s="183"/>
      <c r="L29" s="8" t="s">
        <v>957</v>
      </c>
      <c r="M29" s="8"/>
      <c r="N29" s="113"/>
    </row>
    <row r="30" spans="2:14" x14ac:dyDescent="0.25">
      <c r="B30" s="8"/>
      <c r="C30" s="8"/>
      <c r="D30" s="13" t="s">
        <v>387</v>
      </c>
      <c r="E30" s="8" t="s">
        <v>388</v>
      </c>
      <c r="F30" s="51">
        <v>0.38</v>
      </c>
      <c r="G30" s="51">
        <v>0.38</v>
      </c>
      <c r="H30" s="155">
        <v>2</v>
      </c>
      <c r="I30" s="156" t="s">
        <v>1005</v>
      </c>
      <c r="J30" s="51">
        <v>0.38</v>
      </c>
      <c r="K30" s="183"/>
      <c r="L30" s="8" t="s">
        <v>957</v>
      </c>
      <c r="M30" s="8"/>
      <c r="N30" s="113"/>
    </row>
    <row r="31" spans="2:14" x14ac:dyDescent="0.25">
      <c r="B31" s="8"/>
      <c r="C31" s="8"/>
      <c r="D31" s="13" t="s">
        <v>39</v>
      </c>
      <c r="E31" s="8" t="s">
        <v>389</v>
      </c>
      <c r="F31" s="179">
        <v>0.155</v>
      </c>
      <c r="G31" s="179">
        <v>0.155</v>
      </c>
      <c r="H31" s="155">
        <v>2</v>
      </c>
      <c r="I31" s="156" t="s">
        <v>1005</v>
      </c>
      <c r="J31" s="183">
        <v>0.155</v>
      </c>
      <c r="K31" s="183"/>
      <c r="L31" s="8" t="s">
        <v>957</v>
      </c>
      <c r="M31" s="8"/>
      <c r="N31" s="113"/>
    </row>
    <row r="32" spans="2:14" x14ac:dyDescent="0.25">
      <c r="B32" s="8"/>
      <c r="C32" s="8"/>
      <c r="D32" s="13" t="s">
        <v>61</v>
      </c>
      <c r="E32" s="8" t="s">
        <v>222</v>
      </c>
      <c r="F32" s="179">
        <v>0.91900000000000004</v>
      </c>
      <c r="G32" s="179">
        <v>0.91900000000000004</v>
      </c>
      <c r="H32" s="155">
        <v>2</v>
      </c>
      <c r="I32" s="156" t="s">
        <v>1005</v>
      </c>
      <c r="J32" s="183">
        <v>0.91900000000000004</v>
      </c>
      <c r="K32" s="183"/>
      <c r="L32" s="8" t="s">
        <v>957</v>
      </c>
      <c r="M32" s="8"/>
      <c r="N32" s="113"/>
    </row>
    <row r="33" spans="2:14" x14ac:dyDescent="0.25">
      <c r="B33" s="8"/>
      <c r="C33" s="8"/>
      <c r="D33" s="13" t="s">
        <v>148</v>
      </c>
      <c r="E33" s="8"/>
      <c r="F33" s="179">
        <v>1.4930000000000001</v>
      </c>
      <c r="G33" s="179">
        <v>1.4930000000000001</v>
      </c>
      <c r="H33" s="155">
        <v>2</v>
      </c>
      <c r="I33" s="156" t="s">
        <v>1005</v>
      </c>
      <c r="J33" s="183">
        <v>1.4930000000000001</v>
      </c>
      <c r="K33" s="183"/>
      <c r="L33" s="8" t="s">
        <v>957</v>
      </c>
      <c r="M33" s="8"/>
      <c r="N33" s="113"/>
    </row>
    <row r="34" spans="2:14" x14ac:dyDescent="0.25">
      <c r="B34" s="8"/>
      <c r="C34" s="8"/>
      <c r="D34" s="8"/>
      <c r="E34" s="56" t="s">
        <v>89</v>
      </c>
      <c r="F34" s="43">
        <f>SUM(F27:F33)</f>
        <v>4.4909999999999997</v>
      </c>
      <c r="G34" s="43">
        <f>SUM(G27:G33)</f>
        <v>4.4909999999999997</v>
      </c>
      <c r="H34" s="8"/>
      <c r="I34" s="8"/>
      <c r="J34" s="8"/>
      <c r="K34" s="8"/>
      <c r="L34" s="8"/>
      <c r="M34" s="8"/>
      <c r="N34" s="113"/>
    </row>
    <row r="35" spans="2:14" x14ac:dyDescent="0.25">
      <c r="B35" s="8"/>
      <c r="C35" s="8"/>
      <c r="D35" s="72" t="s">
        <v>1191</v>
      </c>
      <c r="E35" s="8"/>
      <c r="F35" s="240"/>
      <c r="G35" s="240"/>
      <c r="H35" s="8"/>
      <c r="I35" s="8"/>
      <c r="J35" s="8"/>
      <c r="K35" s="8"/>
      <c r="L35" s="8"/>
      <c r="M35" s="8"/>
      <c r="N35" s="113"/>
    </row>
    <row r="36" spans="2:14" x14ac:dyDescent="0.25">
      <c r="B36" s="248"/>
      <c r="C36" s="248"/>
      <c r="D36" s="246" t="s">
        <v>1193</v>
      </c>
      <c r="E36" s="8" t="s">
        <v>1192</v>
      </c>
      <c r="F36" s="240">
        <v>2.1269999999999998</v>
      </c>
      <c r="G36" s="240">
        <v>2.1269999999999998</v>
      </c>
      <c r="H36" s="240">
        <v>2</v>
      </c>
      <c r="I36" s="156" t="s">
        <v>1005</v>
      </c>
      <c r="J36" s="240">
        <v>2.1269999999999998</v>
      </c>
      <c r="K36" s="240"/>
      <c r="L36" s="8" t="s">
        <v>957</v>
      </c>
      <c r="M36" s="8"/>
      <c r="N36" s="113"/>
    </row>
    <row r="37" spans="2:14" x14ac:dyDescent="0.25">
      <c r="B37" s="248"/>
      <c r="C37" s="248"/>
      <c r="D37" s="246" t="s">
        <v>40</v>
      </c>
      <c r="E37" s="94" t="s">
        <v>1194</v>
      </c>
      <c r="F37" s="240">
        <v>0.24099999999999999</v>
      </c>
      <c r="G37" s="240">
        <v>0.24099999999999999</v>
      </c>
      <c r="H37" s="240">
        <v>2</v>
      </c>
      <c r="I37" s="156" t="s">
        <v>1005</v>
      </c>
      <c r="J37" s="240">
        <v>0.24099999999999999</v>
      </c>
      <c r="K37" s="240"/>
      <c r="L37" s="8" t="s">
        <v>957</v>
      </c>
      <c r="M37" s="8"/>
      <c r="N37" s="113"/>
    </row>
    <row r="38" spans="2:14" x14ac:dyDescent="0.25">
      <c r="B38" s="248"/>
      <c r="C38" s="248"/>
      <c r="D38" s="246" t="s">
        <v>41</v>
      </c>
      <c r="E38" s="94" t="s">
        <v>1194</v>
      </c>
      <c r="F38" s="240">
        <v>0.24099999999999999</v>
      </c>
      <c r="G38" s="240">
        <v>0.24099999999999999</v>
      </c>
      <c r="H38" s="240">
        <v>2</v>
      </c>
      <c r="I38" s="156" t="s">
        <v>1005</v>
      </c>
      <c r="J38" s="240">
        <v>0.24099999999999999</v>
      </c>
      <c r="K38" s="240"/>
      <c r="L38" s="8" t="s">
        <v>957</v>
      </c>
      <c r="M38" s="8"/>
      <c r="N38" s="113"/>
    </row>
    <row r="39" spans="2:14" x14ac:dyDescent="0.25">
      <c r="B39" s="248"/>
      <c r="C39" s="248"/>
      <c r="D39" s="246" t="s">
        <v>1195</v>
      </c>
      <c r="E39" s="94" t="s">
        <v>1196</v>
      </c>
      <c r="F39" s="240">
        <v>1.627</v>
      </c>
      <c r="G39" s="240">
        <v>1.627</v>
      </c>
      <c r="H39" s="240">
        <v>2</v>
      </c>
      <c r="I39" s="156" t="s">
        <v>1005</v>
      </c>
      <c r="J39" s="240">
        <v>1.627</v>
      </c>
      <c r="K39" s="240"/>
      <c r="L39" s="8" t="s">
        <v>957</v>
      </c>
      <c r="M39" s="8"/>
      <c r="N39" s="113"/>
    </row>
    <row r="40" spans="2:14" x14ac:dyDescent="0.25">
      <c r="B40" s="248"/>
      <c r="C40" s="248"/>
      <c r="D40" s="246" t="s">
        <v>1197</v>
      </c>
      <c r="E40" s="94" t="s">
        <v>1198</v>
      </c>
      <c r="F40" s="240">
        <v>0.874</v>
      </c>
      <c r="G40" s="240">
        <v>0.874</v>
      </c>
      <c r="H40" s="240">
        <v>2</v>
      </c>
      <c r="I40" s="156" t="s">
        <v>1005</v>
      </c>
      <c r="J40" s="240">
        <v>0.874</v>
      </c>
      <c r="K40" s="240"/>
      <c r="L40" s="8" t="s">
        <v>957</v>
      </c>
      <c r="M40" s="8"/>
      <c r="N40" s="113"/>
    </row>
    <row r="41" spans="2:14" x14ac:dyDescent="0.25">
      <c r="B41" s="248"/>
      <c r="C41" s="248"/>
      <c r="D41" s="246" t="s">
        <v>1200</v>
      </c>
      <c r="E41" s="94" t="s">
        <v>1199</v>
      </c>
      <c r="F41" s="51">
        <v>0.81</v>
      </c>
      <c r="G41" s="51">
        <v>0.81</v>
      </c>
      <c r="H41" s="240">
        <v>2</v>
      </c>
      <c r="I41" s="156" t="s">
        <v>1005</v>
      </c>
      <c r="J41" s="51">
        <v>0.81</v>
      </c>
      <c r="K41" s="240"/>
      <c r="L41" s="8" t="s">
        <v>957</v>
      </c>
      <c r="M41" s="8"/>
      <c r="N41" s="113"/>
    </row>
    <row r="42" spans="2:14" x14ac:dyDescent="0.25">
      <c r="B42" s="248"/>
      <c r="C42" s="248"/>
      <c r="D42" s="246" t="s">
        <v>1202</v>
      </c>
      <c r="E42" s="94" t="s">
        <v>1201</v>
      </c>
      <c r="F42" s="240">
        <v>0.71199999999999997</v>
      </c>
      <c r="G42" s="240">
        <v>0.71199999999999997</v>
      </c>
      <c r="H42" s="240">
        <v>2</v>
      </c>
      <c r="I42" s="156" t="s">
        <v>1005</v>
      </c>
      <c r="J42" s="240">
        <v>0.71199999999999997</v>
      </c>
      <c r="K42" s="240"/>
      <c r="L42" s="8" t="s">
        <v>957</v>
      </c>
      <c r="M42" s="8"/>
      <c r="N42" s="113"/>
    </row>
    <row r="43" spans="2:14" x14ac:dyDescent="0.25">
      <c r="B43" s="248"/>
      <c r="C43" s="248"/>
      <c r="D43" s="246" t="s">
        <v>342</v>
      </c>
      <c r="E43" s="94" t="s">
        <v>1203</v>
      </c>
      <c r="F43" s="51">
        <v>0.52</v>
      </c>
      <c r="G43" s="51">
        <v>0.52</v>
      </c>
      <c r="H43" s="240">
        <v>2</v>
      </c>
      <c r="I43" s="156" t="s">
        <v>1005</v>
      </c>
      <c r="J43" s="51">
        <v>0.52</v>
      </c>
      <c r="K43" s="240"/>
      <c r="L43" s="8" t="s">
        <v>957</v>
      </c>
      <c r="M43" s="8"/>
      <c r="N43" s="113"/>
    </row>
    <row r="44" spans="2:14" x14ac:dyDescent="0.25">
      <c r="B44" s="248"/>
      <c r="C44" s="248"/>
      <c r="D44" s="246" t="s">
        <v>1204</v>
      </c>
      <c r="E44" s="94" t="s">
        <v>1205</v>
      </c>
      <c r="F44" s="240">
        <v>0.55300000000000005</v>
      </c>
      <c r="G44" s="240">
        <v>0.55300000000000005</v>
      </c>
      <c r="H44" s="240">
        <v>2</v>
      </c>
      <c r="I44" s="156" t="s">
        <v>1005</v>
      </c>
      <c r="J44" s="240">
        <v>0.55300000000000005</v>
      </c>
      <c r="K44" s="240"/>
      <c r="L44" s="8" t="s">
        <v>957</v>
      </c>
      <c r="M44" s="8"/>
      <c r="N44" s="113"/>
    </row>
    <row r="45" spans="2:14" x14ac:dyDescent="0.25">
      <c r="B45" s="248"/>
      <c r="C45" s="248"/>
      <c r="D45" s="246" t="s">
        <v>1207</v>
      </c>
      <c r="E45" s="94" t="s">
        <v>1206</v>
      </c>
      <c r="F45" s="51">
        <v>2.16</v>
      </c>
      <c r="G45" s="51">
        <v>2.16</v>
      </c>
      <c r="H45" s="240">
        <v>2</v>
      </c>
      <c r="I45" s="156" t="s">
        <v>1005</v>
      </c>
      <c r="J45" s="51">
        <v>2.16</v>
      </c>
      <c r="K45" s="240"/>
      <c r="L45" s="8" t="s">
        <v>957</v>
      </c>
      <c r="M45" s="8"/>
      <c r="N45" s="113"/>
    </row>
    <row r="46" spans="2:14" x14ac:dyDescent="0.25">
      <c r="B46" s="248"/>
      <c r="C46" s="248"/>
      <c r="D46" s="246" t="s">
        <v>1208</v>
      </c>
      <c r="E46" s="94" t="s">
        <v>1209</v>
      </c>
      <c r="F46" s="240">
        <v>0.85299999999999998</v>
      </c>
      <c r="G46" s="240">
        <v>0.85299999999999998</v>
      </c>
      <c r="H46" s="240">
        <v>2</v>
      </c>
      <c r="I46" s="156" t="s">
        <v>1005</v>
      </c>
      <c r="J46" s="240">
        <v>0.85299999999999998</v>
      </c>
      <c r="K46" s="240"/>
      <c r="L46" s="8" t="s">
        <v>957</v>
      </c>
      <c r="M46" s="8"/>
      <c r="N46" s="113"/>
    </row>
    <row r="47" spans="2:14" x14ac:dyDescent="0.25">
      <c r="B47" s="248"/>
      <c r="C47" s="248"/>
      <c r="D47" s="246" t="s">
        <v>434</v>
      </c>
      <c r="E47" s="94" t="s">
        <v>1210</v>
      </c>
      <c r="F47" s="240">
        <v>1.4730000000000001</v>
      </c>
      <c r="G47" s="240">
        <v>1.4730000000000001</v>
      </c>
      <c r="H47" s="240">
        <v>2</v>
      </c>
      <c r="I47" s="156" t="s">
        <v>1005</v>
      </c>
      <c r="J47" s="240">
        <v>1.4730000000000001</v>
      </c>
      <c r="K47" s="240"/>
      <c r="L47" s="8" t="s">
        <v>957</v>
      </c>
      <c r="M47" s="8"/>
      <c r="N47" s="113"/>
    </row>
    <row r="48" spans="2:14" x14ac:dyDescent="0.25">
      <c r="B48" s="248"/>
      <c r="C48" s="248"/>
      <c r="D48" s="246" t="s">
        <v>1212</v>
      </c>
      <c r="E48" s="94" t="s">
        <v>1211</v>
      </c>
      <c r="F48" s="240">
        <v>0.72099999999999997</v>
      </c>
      <c r="G48" s="240">
        <v>0.72099999999999997</v>
      </c>
      <c r="H48" s="240">
        <v>2</v>
      </c>
      <c r="I48" s="156" t="s">
        <v>1005</v>
      </c>
      <c r="J48" s="240">
        <v>0.72099999999999997</v>
      </c>
      <c r="K48" s="240"/>
      <c r="L48" s="8" t="s">
        <v>957</v>
      </c>
      <c r="M48" s="8"/>
      <c r="N48" s="113"/>
    </row>
    <row r="49" spans="2:14" x14ac:dyDescent="0.25">
      <c r="B49" s="248"/>
      <c r="C49" s="248"/>
      <c r="D49" s="246" t="s">
        <v>362</v>
      </c>
      <c r="E49" s="94" t="s">
        <v>1213</v>
      </c>
      <c r="F49" s="240">
        <v>0.65500000000000003</v>
      </c>
      <c r="G49" s="240">
        <v>0.65500000000000003</v>
      </c>
      <c r="H49" s="240">
        <v>2</v>
      </c>
      <c r="I49" s="156" t="s">
        <v>1005</v>
      </c>
      <c r="J49" s="240">
        <v>0.65500000000000003</v>
      </c>
      <c r="K49" s="240"/>
      <c r="L49" s="8" t="s">
        <v>957</v>
      </c>
      <c r="M49" s="8"/>
      <c r="N49" s="113"/>
    </row>
    <row r="50" spans="2:14" x14ac:dyDescent="0.25">
      <c r="B50" s="248"/>
      <c r="C50" s="248"/>
      <c r="D50" s="246" t="s">
        <v>364</v>
      </c>
      <c r="E50" s="94" t="s">
        <v>1214</v>
      </c>
      <c r="F50" s="240">
        <v>0.61499999999999999</v>
      </c>
      <c r="G50" s="240">
        <v>0.61499999999999999</v>
      </c>
      <c r="H50" s="240">
        <v>2</v>
      </c>
      <c r="I50" s="156" t="s">
        <v>1005</v>
      </c>
      <c r="J50" s="240">
        <v>0.61499999999999999</v>
      </c>
      <c r="K50" s="240"/>
      <c r="L50" s="8" t="s">
        <v>957</v>
      </c>
      <c r="M50" s="8"/>
      <c r="N50" s="113"/>
    </row>
    <row r="51" spans="2:14" x14ac:dyDescent="0.25">
      <c r="B51" s="248"/>
      <c r="C51" s="248"/>
      <c r="D51" s="246" t="s">
        <v>366</v>
      </c>
      <c r="E51" s="94" t="s">
        <v>1214</v>
      </c>
      <c r="F51" s="240">
        <v>0.61499999999999999</v>
      </c>
      <c r="G51" s="240">
        <v>0.61499999999999999</v>
      </c>
      <c r="H51" s="240">
        <v>2</v>
      </c>
      <c r="I51" s="156" t="s">
        <v>1005</v>
      </c>
      <c r="J51" s="240">
        <v>0.61499999999999999</v>
      </c>
      <c r="K51" s="240"/>
      <c r="L51" s="8" t="s">
        <v>957</v>
      </c>
      <c r="M51" s="8"/>
      <c r="N51" s="113"/>
    </row>
    <row r="52" spans="2:14" x14ac:dyDescent="0.25">
      <c r="B52" s="248"/>
      <c r="C52" s="248"/>
      <c r="D52" s="246" t="s">
        <v>1215</v>
      </c>
      <c r="E52" s="94" t="s">
        <v>1216</v>
      </c>
      <c r="F52" s="240">
        <v>0.625</v>
      </c>
      <c r="G52" s="240">
        <v>0.625</v>
      </c>
      <c r="H52" s="240">
        <v>2</v>
      </c>
      <c r="I52" s="156" t="s">
        <v>1005</v>
      </c>
      <c r="J52" s="240">
        <v>0.625</v>
      </c>
      <c r="K52" s="240"/>
      <c r="L52" s="8" t="s">
        <v>957</v>
      </c>
      <c r="M52" s="8"/>
      <c r="N52" s="113"/>
    </row>
    <row r="53" spans="2:14" x14ac:dyDescent="0.25">
      <c r="B53" s="248"/>
      <c r="C53" s="248"/>
      <c r="D53" s="246" t="s">
        <v>1217</v>
      </c>
      <c r="E53" s="94" t="s">
        <v>1218</v>
      </c>
      <c r="F53" s="240">
        <v>0.14299999999999999</v>
      </c>
      <c r="G53" s="240">
        <v>0.14299999999999999</v>
      </c>
      <c r="H53" s="240">
        <v>2</v>
      </c>
      <c r="I53" s="156" t="s">
        <v>1005</v>
      </c>
      <c r="J53" s="240">
        <v>0.14299999999999999</v>
      </c>
      <c r="K53" s="240"/>
      <c r="L53" s="8" t="s">
        <v>957</v>
      </c>
      <c r="M53" s="8"/>
      <c r="N53" s="113"/>
    </row>
    <row r="54" spans="2:14" x14ac:dyDescent="0.25">
      <c r="B54" s="248"/>
      <c r="C54" s="248"/>
      <c r="D54" s="246" t="s">
        <v>1219</v>
      </c>
      <c r="E54" s="94" t="s">
        <v>1220</v>
      </c>
      <c r="F54" s="240">
        <v>0.252</v>
      </c>
      <c r="G54" s="240">
        <v>0.252</v>
      </c>
      <c r="H54" s="240">
        <v>2</v>
      </c>
      <c r="I54" s="156" t="s">
        <v>1005</v>
      </c>
      <c r="J54" s="240">
        <v>0.252</v>
      </c>
      <c r="K54" s="240"/>
      <c r="L54" s="8" t="s">
        <v>957</v>
      </c>
      <c r="M54" s="8"/>
      <c r="N54" s="113"/>
    </row>
    <row r="55" spans="2:14" x14ac:dyDescent="0.25">
      <c r="B55" s="248"/>
      <c r="C55" s="248"/>
      <c r="D55" s="13" t="s">
        <v>148</v>
      </c>
      <c r="E55" s="94"/>
      <c r="F55" s="51">
        <v>2.56</v>
      </c>
      <c r="G55" s="51">
        <v>2.56</v>
      </c>
      <c r="H55" s="245">
        <v>2</v>
      </c>
      <c r="I55" s="156" t="s">
        <v>1005</v>
      </c>
      <c r="J55" s="51">
        <v>2.56</v>
      </c>
      <c r="K55" s="245"/>
      <c r="L55" s="8" t="s">
        <v>957</v>
      </c>
      <c r="M55" s="8"/>
      <c r="N55" s="113"/>
    </row>
    <row r="56" spans="2:14" x14ac:dyDescent="0.25">
      <c r="B56" s="248"/>
      <c r="C56" s="248"/>
      <c r="D56" s="8"/>
      <c r="E56" s="240" t="s">
        <v>89</v>
      </c>
      <c r="F56" s="43">
        <f>SUM(F36:F55)</f>
        <v>18.376999999999999</v>
      </c>
      <c r="G56" s="43">
        <f>SUM(G36:G55)</f>
        <v>18.376999999999999</v>
      </c>
      <c r="H56" s="8"/>
      <c r="I56" s="8"/>
      <c r="J56" s="8"/>
      <c r="K56" s="8"/>
      <c r="L56" s="8"/>
      <c r="M56" s="8"/>
      <c r="N56" s="113"/>
    </row>
    <row r="57" spans="2:14" ht="15.75" thickBot="1" x14ac:dyDescent="0.3">
      <c r="B57" s="8"/>
      <c r="C57" s="8"/>
      <c r="D57" s="34" t="s">
        <v>257</v>
      </c>
      <c r="E57" s="8" t="s">
        <v>258</v>
      </c>
      <c r="F57" s="50">
        <f>5.232*2</f>
        <v>10.464</v>
      </c>
      <c r="G57" s="50">
        <f>5.232*2</f>
        <v>10.464</v>
      </c>
      <c r="H57" s="155">
        <v>2</v>
      </c>
      <c r="I57" s="156" t="s">
        <v>1005</v>
      </c>
      <c r="J57" s="163"/>
      <c r="K57" s="133">
        <f>5.232*2</f>
        <v>10.464</v>
      </c>
      <c r="L57" s="8" t="s">
        <v>957</v>
      </c>
      <c r="M57" s="122" t="s">
        <v>1025</v>
      </c>
      <c r="N57" s="9"/>
    </row>
    <row r="58" spans="2:14" ht="15.75" thickBot="1" x14ac:dyDescent="0.3">
      <c r="E58" s="95" t="s">
        <v>705</v>
      </c>
      <c r="F58" s="142">
        <f>SUM(F8,F16,F17,F25,F34,F56,F57)</f>
        <v>79.191000000000003</v>
      </c>
      <c r="G58" s="142">
        <f>SUM(G8,G16,G17,G25,G34,G56,G57)</f>
        <v>79.191000000000003</v>
      </c>
      <c r="I58" s="203" t="s">
        <v>11</v>
      </c>
      <c r="J58" s="215">
        <f>SUM(J8:J57)</f>
        <v>33.262999999999998</v>
      </c>
      <c r="K58" s="215">
        <f>SUM(K8:K57)</f>
        <v>45.927999999999997</v>
      </c>
      <c r="L58" s="61" t="s">
        <v>1035</v>
      </c>
      <c r="M58" s="219">
        <f>J58+K58</f>
        <v>79.191000000000003</v>
      </c>
      <c r="N58" s="237"/>
    </row>
    <row r="59" spans="2:14" x14ac:dyDescent="0.25">
      <c r="B59" s="129" t="s">
        <v>30</v>
      </c>
      <c r="C59" s="129"/>
      <c r="D59" s="129"/>
      <c r="E59" s="129"/>
      <c r="F59" s="129"/>
      <c r="G59" s="129"/>
      <c r="H59" s="129"/>
      <c r="I59" s="205" t="s">
        <v>1104</v>
      </c>
      <c r="J59" s="206">
        <f>SUM(J8:J57)*1000*5</f>
        <v>166315</v>
      </c>
      <c r="K59" s="206">
        <f>SUM(K8:K57)*1000*6</f>
        <v>275568</v>
      </c>
      <c r="L59" s="207" t="s">
        <v>1155</v>
      </c>
      <c r="M59" s="129"/>
    </row>
    <row r="60" spans="2:14" x14ac:dyDescent="0.25">
      <c r="E60" s="110" t="s">
        <v>1000</v>
      </c>
      <c r="F60" s="134">
        <f>F58</f>
        <v>79.191000000000003</v>
      </c>
      <c r="G60" s="134">
        <f>G58</f>
        <v>79.191000000000003</v>
      </c>
      <c r="I60" s="208"/>
      <c r="J60" s="209" t="s">
        <v>1105</v>
      </c>
      <c r="K60" s="210">
        <f>J59+K59</f>
        <v>441883</v>
      </c>
      <c r="L60" s="211"/>
    </row>
    <row r="61" spans="2:14" x14ac:dyDescent="0.25">
      <c r="I61" s="194"/>
      <c r="J61" s="186" t="s">
        <v>1126</v>
      </c>
      <c r="K61" s="184">
        <f>SUM(K60/10000)</f>
        <v>44.188299999999998</v>
      </c>
      <c r="L61" s="185" t="s">
        <v>1107</v>
      </c>
    </row>
    <row r="62" spans="2:14" x14ac:dyDescent="0.25">
      <c r="I62" s="194"/>
      <c r="J62" s="186" t="s">
        <v>1125</v>
      </c>
      <c r="K62" s="184">
        <v>0</v>
      </c>
      <c r="L62" s="185" t="s">
        <v>1107</v>
      </c>
    </row>
    <row r="63" spans="2:14" x14ac:dyDescent="0.25">
      <c r="I63" s="193"/>
      <c r="J63" s="188" t="s">
        <v>1108</v>
      </c>
      <c r="K63" s="184">
        <v>4</v>
      </c>
      <c r="L63" s="185" t="s">
        <v>1109</v>
      </c>
    </row>
    <row r="64" spans="2:14" x14ac:dyDescent="0.25">
      <c r="I64" s="193"/>
      <c r="J64" s="188" t="s">
        <v>1110</v>
      </c>
      <c r="K64" s="184">
        <v>1.8</v>
      </c>
      <c r="L64" s="185" t="s">
        <v>1109</v>
      </c>
    </row>
    <row r="65" spans="9:12" x14ac:dyDescent="0.25">
      <c r="I65" s="192"/>
      <c r="J65" s="188" t="s">
        <v>1111</v>
      </c>
      <c r="K65" s="184">
        <v>300</v>
      </c>
      <c r="L65" s="185" t="s">
        <v>1109</v>
      </c>
    </row>
    <row r="66" spans="9:12" x14ac:dyDescent="0.25">
      <c r="I66" s="192"/>
      <c r="J66" s="189" t="s">
        <v>1115</v>
      </c>
      <c r="K66" s="191">
        <f>K61*K63</f>
        <v>176.75319999999999</v>
      </c>
      <c r="L66" s="187" t="s">
        <v>1112</v>
      </c>
    </row>
    <row r="67" spans="9:12" x14ac:dyDescent="0.25">
      <c r="I67" s="70"/>
      <c r="J67" s="189" t="s">
        <v>1116</v>
      </c>
      <c r="K67" s="191">
        <f>K62*K64</f>
        <v>0</v>
      </c>
      <c r="L67" s="187" t="s">
        <v>1112</v>
      </c>
    </row>
    <row r="68" spans="9:12" x14ac:dyDescent="0.25">
      <c r="I68" s="70"/>
      <c r="J68" s="190" t="s">
        <v>1113</v>
      </c>
      <c r="K68" s="191">
        <f>K61*K65/1000</f>
        <v>13.256489999999999</v>
      </c>
      <c r="L68" s="187" t="s">
        <v>1114</v>
      </c>
    </row>
  </sheetData>
  <mergeCells count="7">
    <mergeCell ref="B2:M2"/>
    <mergeCell ref="B3:H3"/>
    <mergeCell ref="I3:M3"/>
    <mergeCell ref="B4:M4"/>
    <mergeCell ref="B5:D5"/>
    <mergeCell ref="E5:I5"/>
    <mergeCell ref="J5:M5"/>
  </mergeCells>
  <pageMargins left="0.70866141732283472" right="0.70866141732283472" top="0.59055118110236227" bottom="0.78740157480314965"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pageSetUpPr fitToPage="1"/>
  </sheetPr>
  <dimension ref="B1:M159"/>
  <sheetViews>
    <sheetView zoomScaleNormal="100" workbookViewId="0">
      <selection activeCell="G149" sqref="G149"/>
    </sheetView>
  </sheetViews>
  <sheetFormatPr defaultRowHeight="15" x14ac:dyDescent="0.25"/>
  <cols>
    <col min="2" max="3" width="12.7109375" customWidth="1"/>
    <col min="4" max="4" width="33.140625" customWidth="1"/>
    <col min="5" max="5" width="17.7109375" customWidth="1"/>
    <col min="6" max="8" width="10.7109375" customWidth="1"/>
    <col min="9" max="9" width="20.7109375" customWidth="1"/>
    <col min="10" max="11" width="10.7109375" customWidth="1"/>
    <col min="12" max="12" width="18.7109375" customWidth="1"/>
    <col min="13" max="13" width="34.28515625" customWidth="1"/>
  </cols>
  <sheetData>
    <row r="1" spans="2:13" ht="15.75" thickBot="1" x14ac:dyDescent="0.3"/>
    <row r="2" spans="2:13" ht="19.5" thickBot="1" x14ac:dyDescent="0.3">
      <c r="B2" s="349" t="s">
        <v>18</v>
      </c>
      <c r="C2" s="350"/>
      <c r="D2" s="350"/>
      <c r="E2" s="350"/>
      <c r="F2" s="350"/>
      <c r="G2" s="350"/>
      <c r="H2" s="350"/>
      <c r="I2" s="350"/>
      <c r="J2" s="350"/>
      <c r="K2" s="350"/>
      <c r="L2" s="350"/>
      <c r="M2" s="351"/>
    </row>
    <row r="3" spans="2:13" x14ac:dyDescent="0.25">
      <c r="B3" s="357" t="s">
        <v>19</v>
      </c>
      <c r="C3" s="355"/>
      <c r="D3" s="355"/>
      <c r="E3" s="355"/>
      <c r="F3" s="355"/>
      <c r="G3" s="355"/>
      <c r="H3" s="355"/>
      <c r="I3" s="355" t="s">
        <v>1003</v>
      </c>
      <c r="J3" s="355"/>
      <c r="K3" s="355"/>
      <c r="L3" s="355"/>
      <c r="M3" s="356"/>
    </row>
    <row r="4" spans="2:13" x14ac:dyDescent="0.25">
      <c r="B4" s="352"/>
      <c r="C4" s="353"/>
      <c r="D4" s="353"/>
      <c r="E4" s="353"/>
      <c r="F4" s="353"/>
      <c r="G4" s="353"/>
      <c r="H4" s="353"/>
      <c r="I4" s="353"/>
      <c r="J4" s="353"/>
      <c r="K4" s="353"/>
      <c r="L4" s="353"/>
      <c r="M4" s="354"/>
    </row>
    <row r="5" spans="2:13" ht="15.75" thickBot="1" x14ac:dyDescent="0.3">
      <c r="B5" s="358" t="s">
        <v>23</v>
      </c>
      <c r="C5" s="359"/>
      <c r="D5" s="359"/>
      <c r="E5" s="359" t="s">
        <v>1092</v>
      </c>
      <c r="F5" s="359"/>
      <c r="G5" s="359"/>
      <c r="H5" s="359"/>
      <c r="I5" s="359"/>
      <c r="J5" s="359" t="s">
        <v>1093</v>
      </c>
      <c r="K5" s="359"/>
      <c r="L5" s="359"/>
      <c r="M5" s="360"/>
    </row>
    <row r="6" spans="2:13" ht="30"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row>
    <row r="7" spans="2:13" x14ac:dyDescent="0.25">
      <c r="B7" s="9"/>
      <c r="C7" s="9"/>
      <c r="D7" s="54" t="s">
        <v>646</v>
      </c>
      <c r="E7" s="8"/>
      <c r="F7" s="92"/>
      <c r="G7" s="17"/>
      <c r="H7" s="9"/>
      <c r="I7" s="9"/>
      <c r="J7" s="9"/>
      <c r="K7" s="9"/>
      <c r="L7" s="9"/>
      <c r="M7" s="9"/>
    </row>
    <row r="8" spans="2:13" x14ac:dyDescent="0.25">
      <c r="B8" s="9"/>
      <c r="C8" s="9"/>
      <c r="D8" s="72" t="s">
        <v>259</v>
      </c>
      <c r="E8" s="8"/>
      <c r="F8" s="56"/>
      <c r="G8" s="17"/>
      <c r="H8" s="9"/>
      <c r="I8" s="9"/>
      <c r="J8" s="9"/>
      <c r="K8" s="9"/>
      <c r="L8" s="9"/>
      <c r="M8" s="9"/>
    </row>
    <row r="9" spans="2:13" x14ac:dyDescent="0.25">
      <c r="B9" s="8"/>
      <c r="C9" s="8"/>
      <c r="D9" s="13" t="s">
        <v>1135</v>
      </c>
      <c r="E9" s="8" t="s">
        <v>260</v>
      </c>
      <c r="F9" s="51">
        <v>1.17</v>
      </c>
      <c r="G9" s="51">
        <v>1.17</v>
      </c>
      <c r="H9" s="155">
        <v>2</v>
      </c>
      <c r="I9" s="156" t="s">
        <v>1005</v>
      </c>
      <c r="J9" s="51">
        <v>1.17</v>
      </c>
      <c r="K9" s="183"/>
      <c r="L9" s="8" t="s">
        <v>957</v>
      </c>
      <c r="M9" s="58"/>
    </row>
    <row r="10" spans="2:13" x14ac:dyDescent="0.25">
      <c r="B10" s="8"/>
      <c r="C10" s="8"/>
      <c r="D10" s="13" t="s">
        <v>33</v>
      </c>
      <c r="E10" s="8" t="s">
        <v>261</v>
      </c>
      <c r="F10" s="179">
        <v>0.82499999999999996</v>
      </c>
      <c r="G10" s="179">
        <v>0.82499999999999996</v>
      </c>
      <c r="H10" s="155">
        <v>2</v>
      </c>
      <c r="I10" s="156" t="s">
        <v>1005</v>
      </c>
      <c r="J10" s="183">
        <v>0.82499999999999996</v>
      </c>
      <c r="K10" s="183"/>
      <c r="L10" s="8" t="s">
        <v>957</v>
      </c>
      <c r="M10" s="58"/>
    </row>
    <row r="11" spans="2:13" x14ac:dyDescent="0.25">
      <c r="B11" s="8"/>
      <c r="C11" s="8"/>
      <c r="D11" s="13" t="s">
        <v>1175</v>
      </c>
      <c r="E11" s="8" t="s">
        <v>262</v>
      </c>
      <c r="F11" s="51">
        <v>1.17</v>
      </c>
      <c r="G11" s="51">
        <v>1.17</v>
      </c>
      <c r="H11" s="155">
        <v>2</v>
      </c>
      <c r="I11" s="156" t="s">
        <v>1005</v>
      </c>
      <c r="J11" s="51">
        <v>1.17</v>
      </c>
      <c r="K11" s="183"/>
      <c r="L11" s="8" t="s">
        <v>957</v>
      </c>
      <c r="M11" s="58"/>
    </row>
    <row r="12" spans="2:13" x14ac:dyDescent="0.25">
      <c r="B12" s="8"/>
      <c r="C12" s="8"/>
      <c r="D12" s="13" t="s">
        <v>35</v>
      </c>
      <c r="E12" s="8" t="s">
        <v>263</v>
      </c>
      <c r="F12" s="179">
        <v>0.93600000000000005</v>
      </c>
      <c r="G12" s="179">
        <v>0.93600000000000005</v>
      </c>
      <c r="H12" s="155">
        <v>2</v>
      </c>
      <c r="I12" s="156" t="s">
        <v>1005</v>
      </c>
      <c r="J12" s="183">
        <v>0.93600000000000005</v>
      </c>
      <c r="K12" s="183"/>
      <c r="L12" s="8" t="s">
        <v>957</v>
      </c>
      <c r="M12" s="58"/>
    </row>
    <row r="13" spans="2:13" x14ac:dyDescent="0.25">
      <c r="B13" s="8"/>
      <c r="C13" s="8"/>
      <c r="D13" s="13" t="s">
        <v>148</v>
      </c>
      <c r="E13" s="8"/>
      <c r="F13" s="179">
        <v>1.0289999999999999</v>
      </c>
      <c r="G13" s="179">
        <v>1.0289999999999999</v>
      </c>
      <c r="H13" s="155">
        <v>2</v>
      </c>
      <c r="I13" s="156" t="s">
        <v>1005</v>
      </c>
      <c r="J13" s="183">
        <v>1.0289999999999999</v>
      </c>
      <c r="K13" s="183"/>
      <c r="L13" s="8" t="s">
        <v>957</v>
      </c>
      <c r="M13" s="58"/>
    </row>
    <row r="14" spans="2:13" x14ac:dyDescent="0.25">
      <c r="B14" s="8"/>
      <c r="C14" s="8"/>
      <c r="D14" s="8"/>
      <c r="E14" s="60" t="s">
        <v>89</v>
      </c>
      <c r="F14" s="43">
        <f>SUM(F9:F13)</f>
        <v>5.13</v>
      </c>
      <c r="G14" s="43">
        <f>SUM(G9:G13)</f>
        <v>5.13</v>
      </c>
      <c r="H14" s="8"/>
      <c r="I14" s="8"/>
      <c r="J14" s="8"/>
      <c r="K14" s="8"/>
      <c r="L14" s="8"/>
      <c r="M14" s="8"/>
    </row>
    <row r="15" spans="2:13" x14ac:dyDescent="0.25">
      <c r="B15" s="8"/>
      <c r="C15" s="8"/>
      <c r="D15" s="34" t="s">
        <v>647</v>
      </c>
      <c r="E15" s="8" t="s">
        <v>264</v>
      </c>
      <c r="F15" s="52">
        <f>11.054*2</f>
        <v>22.108000000000001</v>
      </c>
      <c r="G15" s="52">
        <f>11.054*2</f>
        <v>22.108000000000001</v>
      </c>
      <c r="H15" s="155">
        <v>2</v>
      </c>
      <c r="I15" s="156" t="s">
        <v>1005</v>
      </c>
      <c r="J15" s="166"/>
      <c r="K15" s="55">
        <f>11.054*2</f>
        <v>22.108000000000001</v>
      </c>
      <c r="L15" s="8" t="s">
        <v>957</v>
      </c>
      <c r="M15" s="122" t="s">
        <v>1026</v>
      </c>
    </row>
    <row r="16" spans="2:13" x14ac:dyDescent="0.25">
      <c r="B16" s="8"/>
      <c r="C16" s="8"/>
      <c r="D16" s="75" t="s">
        <v>648</v>
      </c>
      <c r="F16" s="8"/>
      <c r="G16" s="8"/>
      <c r="H16" s="8"/>
      <c r="I16" s="8"/>
      <c r="J16" s="8"/>
      <c r="K16" s="8"/>
      <c r="L16" s="8"/>
      <c r="M16" s="8"/>
    </row>
    <row r="17" spans="2:13" x14ac:dyDescent="0.25">
      <c r="B17" s="8"/>
      <c r="C17" s="8"/>
      <c r="D17" s="13" t="s">
        <v>1134</v>
      </c>
      <c r="E17" s="8" t="s">
        <v>265</v>
      </c>
      <c r="F17" s="62">
        <v>1.101</v>
      </c>
      <c r="G17" s="136">
        <v>1.101</v>
      </c>
      <c r="H17" s="155">
        <v>2</v>
      </c>
      <c r="I17" s="156" t="s">
        <v>1005</v>
      </c>
      <c r="J17" s="183">
        <v>1.101</v>
      </c>
      <c r="K17" s="183"/>
      <c r="L17" s="8" t="s">
        <v>957</v>
      </c>
      <c r="M17" s="8"/>
    </row>
    <row r="18" spans="2:13" x14ac:dyDescent="0.25">
      <c r="B18" s="8"/>
      <c r="C18" s="8"/>
      <c r="D18" s="13" t="s">
        <v>436</v>
      </c>
      <c r="E18" s="8" t="s">
        <v>267</v>
      </c>
      <c r="F18" s="62">
        <v>0.69899999999999995</v>
      </c>
      <c r="G18" s="136">
        <v>0.69899999999999995</v>
      </c>
      <c r="H18" s="155">
        <v>2</v>
      </c>
      <c r="I18" s="156" t="s">
        <v>1005</v>
      </c>
      <c r="J18" s="183">
        <v>0.69899999999999995</v>
      </c>
      <c r="K18" s="183"/>
      <c r="L18" s="8" t="s">
        <v>957</v>
      </c>
      <c r="M18" s="8"/>
    </row>
    <row r="19" spans="2:13" x14ac:dyDescent="0.25">
      <c r="B19" s="8"/>
      <c r="C19" s="8"/>
      <c r="D19" s="13" t="s">
        <v>34</v>
      </c>
      <c r="E19" s="8" t="s">
        <v>268</v>
      </c>
      <c r="F19" s="62">
        <v>0.49299999999999999</v>
      </c>
      <c r="G19" s="136">
        <v>0.49299999999999999</v>
      </c>
      <c r="H19" s="155">
        <v>2</v>
      </c>
      <c r="I19" s="156" t="s">
        <v>1005</v>
      </c>
      <c r="J19" s="183">
        <v>0.49299999999999999</v>
      </c>
      <c r="K19" s="183"/>
      <c r="L19" s="8" t="s">
        <v>957</v>
      </c>
      <c r="M19" s="8"/>
    </row>
    <row r="20" spans="2:13" x14ac:dyDescent="0.25">
      <c r="B20" s="8"/>
      <c r="C20" s="8"/>
      <c r="D20" s="13" t="s">
        <v>37</v>
      </c>
      <c r="E20" s="8" t="s">
        <v>269</v>
      </c>
      <c r="F20" s="62">
        <v>0.41799999999999998</v>
      </c>
      <c r="G20" s="136">
        <v>0.41799999999999998</v>
      </c>
      <c r="H20" s="155">
        <v>2</v>
      </c>
      <c r="I20" s="156" t="s">
        <v>1005</v>
      </c>
      <c r="J20" s="183">
        <v>0.41799999999999998</v>
      </c>
      <c r="K20" s="183"/>
      <c r="L20" s="8" t="s">
        <v>957</v>
      </c>
      <c r="M20" s="8"/>
    </row>
    <row r="21" spans="2:13" x14ac:dyDescent="0.25">
      <c r="B21" s="8"/>
      <c r="C21" s="8"/>
      <c r="D21" s="13" t="s">
        <v>39</v>
      </c>
      <c r="E21" s="8" t="s">
        <v>270</v>
      </c>
      <c r="F21" s="51">
        <v>0.35</v>
      </c>
      <c r="G21" s="51">
        <v>0.35</v>
      </c>
      <c r="H21" s="155">
        <v>2</v>
      </c>
      <c r="I21" s="156" t="s">
        <v>1005</v>
      </c>
      <c r="J21" s="51">
        <v>0.35</v>
      </c>
      <c r="K21" s="183"/>
      <c r="L21" s="8" t="s">
        <v>957</v>
      </c>
      <c r="M21" s="8"/>
    </row>
    <row r="22" spans="2:13" x14ac:dyDescent="0.25">
      <c r="B22" s="8"/>
      <c r="C22" s="8"/>
      <c r="D22" s="13" t="s">
        <v>40</v>
      </c>
      <c r="E22" s="8" t="s">
        <v>271</v>
      </c>
      <c r="F22" s="51">
        <v>0.28000000000000003</v>
      </c>
      <c r="G22" s="51">
        <v>0.28000000000000003</v>
      </c>
      <c r="H22" s="155">
        <v>2</v>
      </c>
      <c r="I22" s="156" t="s">
        <v>1005</v>
      </c>
      <c r="J22" s="51">
        <v>0.28000000000000003</v>
      </c>
      <c r="K22" s="183"/>
      <c r="L22" s="8" t="s">
        <v>957</v>
      </c>
      <c r="M22" s="8"/>
    </row>
    <row r="23" spans="2:13" x14ac:dyDescent="0.25">
      <c r="B23" s="8"/>
      <c r="C23" s="8"/>
      <c r="D23" s="13" t="s">
        <v>41</v>
      </c>
      <c r="E23" s="8" t="s">
        <v>272</v>
      </c>
      <c r="F23" s="62">
        <v>0.24399999999999999</v>
      </c>
      <c r="G23" s="136">
        <v>0.24399999999999999</v>
      </c>
      <c r="H23" s="155">
        <v>2</v>
      </c>
      <c r="I23" s="156" t="s">
        <v>1005</v>
      </c>
      <c r="J23" s="183">
        <v>0.24399999999999999</v>
      </c>
      <c r="K23" s="183"/>
      <c r="L23" s="8" t="s">
        <v>957</v>
      </c>
      <c r="M23" s="8"/>
    </row>
    <row r="24" spans="2:13" x14ac:dyDescent="0.25">
      <c r="B24" s="8"/>
      <c r="C24" s="8"/>
      <c r="D24" s="13" t="s">
        <v>42</v>
      </c>
      <c r="E24" s="8" t="s">
        <v>273</v>
      </c>
      <c r="F24" s="62">
        <v>0.16200000000000001</v>
      </c>
      <c r="G24" s="136">
        <v>0.16200000000000001</v>
      </c>
      <c r="H24" s="155">
        <v>2</v>
      </c>
      <c r="I24" s="156" t="s">
        <v>1005</v>
      </c>
      <c r="J24" s="183">
        <v>0.16200000000000001</v>
      </c>
      <c r="K24" s="183"/>
      <c r="L24" s="8" t="s">
        <v>957</v>
      </c>
      <c r="M24" s="8"/>
    </row>
    <row r="25" spans="2:13" x14ac:dyDescent="0.25">
      <c r="B25" s="8"/>
      <c r="C25" s="8"/>
      <c r="D25" s="13" t="s">
        <v>274</v>
      </c>
      <c r="E25" s="8" t="s">
        <v>275</v>
      </c>
      <c r="F25" s="62">
        <v>0.39200000000000002</v>
      </c>
      <c r="G25" s="136">
        <v>0.39200000000000002</v>
      </c>
      <c r="H25" s="155">
        <v>2</v>
      </c>
      <c r="I25" s="156" t="s">
        <v>1005</v>
      </c>
      <c r="J25" s="183">
        <v>0.39200000000000002</v>
      </c>
      <c r="K25" s="183"/>
      <c r="L25" s="8" t="s">
        <v>957</v>
      </c>
      <c r="M25" s="8"/>
    </row>
    <row r="26" spans="2:13" x14ac:dyDescent="0.25">
      <c r="B26" s="8"/>
      <c r="C26" s="8"/>
      <c r="D26" s="13" t="s">
        <v>276</v>
      </c>
      <c r="E26" s="8" t="s">
        <v>277</v>
      </c>
      <c r="F26" s="62">
        <v>0.32400000000000001</v>
      </c>
      <c r="G26" s="136">
        <v>0.32400000000000001</v>
      </c>
      <c r="H26" s="155">
        <v>2</v>
      </c>
      <c r="I26" s="156" t="s">
        <v>1005</v>
      </c>
      <c r="J26" s="183">
        <v>0.32400000000000001</v>
      </c>
      <c r="K26" s="183"/>
      <c r="L26" s="8" t="s">
        <v>957</v>
      </c>
      <c r="M26" s="8"/>
    </row>
    <row r="27" spans="2:13" x14ac:dyDescent="0.25">
      <c r="B27" s="8"/>
      <c r="C27" s="8"/>
      <c r="D27" s="13" t="s">
        <v>278</v>
      </c>
      <c r="E27" s="69" t="s">
        <v>279</v>
      </c>
      <c r="F27" s="62">
        <v>0.33100000000000002</v>
      </c>
      <c r="G27" s="136">
        <v>0.33100000000000002</v>
      </c>
      <c r="H27" s="155">
        <v>2</v>
      </c>
      <c r="I27" s="156" t="s">
        <v>1005</v>
      </c>
      <c r="J27" s="183">
        <v>0.33100000000000002</v>
      </c>
      <c r="K27" s="183"/>
      <c r="L27" s="8" t="s">
        <v>957</v>
      </c>
      <c r="M27" s="8"/>
    </row>
    <row r="28" spans="2:13" x14ac:dyDescent="0.25">
      <c r="B28" s="8"/>
      <c r="C28" s="8"/>
      <c r="D28" s="13" t="s">
        <v>1133</v>
      </c>
      <c r="E28" s="8" t="s">
        <v>280</v>
      </c>
      <c r="F28" s="51">
        <v>1.1399999999999999</v>
      </c>
      <c r="G28" s="51">
        <v>1.1399999999999999</v>
      </c>
      <c r="H28" s="155">
        <v>2</v>
      </c>
      <c r="I28" s="156" t="s">
        <v>1005</v>
      </c>
      <c r="J28" s="51">
        <v>1.1399999999999999</v>
      </c>
      <c r="K28" s="183"/>
      <c r="L28" s="8" t="s">
        <v>957</v>
      </c>
      <c r="M28" s="8"/>
    </row>
    <row r="29" spans="2:13" x14ac:dyDescent="0.25">
      <c r="B29" s="8"/>
      <c r="C29" s="8"/>
      <c r="D29" s="13" t="s">
        <v>217</v>
      </c>
      <c r="E29" s="8" t="s">
        <v>281</v>
      </c>
      <c r="F29" s="51">
        <v>0.94</v>
      </c>
      <c r="G29" s="51">
        <v>0.94</v>
      </c>
      <c r="H29" s="155">
        <v>2</v>
      </c>
      <c r="I29" s="156" t="s">
        <v>1005</v>
      </c>
      <c r="J29" s="51">
        <v>0.94</v>
      </c>
      <c r="K29" s="183"/>
      <c r="L29" s="8" t="s">
        <v>957</v>
      </c>
      <c r="M29" s="8"/>
    </row>
    <row r="30" spans="2:13" x14ac:dyDescent="0.25">
      <c r="B30" s="8"/>
      <c r="C30" s="8"/>
      <c r="D30" s="13" t="s">
        <v>282</v>
      </c>
      <c r="E30" s="8" t="s">
        <v>283</v>
      </c>
      <c r="F30" s="62">
        <v>0.16200000000000001</v>
      </c>
      <c r="G30" s="136">
        <v>0.16200000000000001</v>
      </c>
      <c r="H30" s="155">
        <v>2</v>
      </c>
      <c r="I30" s="156" t="s">
        <v>1005</v>
      </c>
      <c r="J30" s="183">
        <v>0.16200000000000001</v>
      </c>
      <c r="K30" s="183"/>
      <c r="L30" s="8" t="s">
        <v>957</v>
      </c>
      <c r="M30" s="8"/>
    </row>
    <row r="31" spans="2:13" x14ac:dyDescent="0.25">
      <c r="B31" s="8"/>
      <c r="C31" s="8"/>
      <c r="D31" s="13" t="s">
        <v>284</v>
      </c>
      <c r="E31" s="8" t="s">
        <v>285</v>
      </c>
      <c r="F31" s="62">
        <v>0.98199999999999998</v>
      </c>
      <c r="G31" s="136">
        <v>0.98199999999999998</v>
      </c>
      <c r="H31" s="155">
        <v>2</v>
      </c>
      <c r="I31" s="156" t="s">
        <v>1005</v>
      </c>
      <c r="J31" s="183">
        <v>0.98199999999999998</v>
      </c>
      <c r="K31" s="183"/>
      <c r="L31" s="8" t="s">
        <v>957</v>
      </c>
      <c r="M31" s="8"/>
    </row>
    <row r="32" spans="2:13" x14ac:dyDescent="0.25">
      <c r="B32" s="8"/>
      <c r="C32" s="8"/>
      <c r="D32" s="13" t="s">
        <v>286</v>
      </c>
      <c r="E32" s="8" t="s">
        <v>287</v>
      </c>
      <c r="F32" s="62">
        <v>1.0369999999999999</v>
      </c>
      <c r="G32" s="136">
        <v>1.0369999999999999</v>
      </c>
      <c r="H32" s="155">
        <v>2</v>
      </c>
      <c r="I32" s="156" t="s">
        <v>1005</v>
      </c>
      <c r="J32" s="183">
        <v>1.0369999999999999</v>
      </c>
      <c r="K32" s="183"/>
      <c r="L32" s="8" t="s">
        <v>957</v>
      </c>
      <c r="M32" s="8"/>
    </row>
    <row r="33" spans="2:13" x14ac:dyDescent="0.25">
      <c r="B33" s="8"/>
      <c r="C33" s="8"/>
      <c r="D33" s="13" t="s">
        <v>288</v>
      </c>
      <c r="E33" s="8" t="s">
        <v>289</v>
      </c>
      <c r="F33" s="62">
        <v>0.94299999999999995</v>
      </c>
      <c r="G33" s="136">
        <v>0.94299999999999995</v>
      </c>
      <c r="H33" s="155">
        <v>2</v>
      </c>
      <c r="I33" s="156" t="s">
        <v>1005</v>
      </c>
      <c r="J33" s="183">
        <v>0.94299999999999995</v>
      </c>
      <c r="K33" s="183"/>
      <c r="L33" s="8" t="s">
        <v>957</v>
      </c>
      <c r="M33" s="8"/>
    </row>
    <row r="34" spans="2:13" x14ac:dyDescent="0.25">
      <c r="B34" s="8"/>
      <c r="C34" s="8"/>
      <c r="D34" s="13" t="s">
        <v>437</v>
      </c>
      <c r="E34" s="8" t="s">
        <v>438</v>
      </c>
      <c r="F34" s="76">
        <v>0.58199999999999996</v>
      </c>
      <c r="G34" s="136">
        <v>0.58199999999999996</v>
      </c>
      <c r="H34" s="155">
        <v>2</v>
      </c>
      <c r="I34" s="156" t="s">
        <v>1005</v>
      </c>
      <c r="J34" s="183">
        <v>0.58199999999999996</v>
      </c>
      <c r="K34" s="183"/>
      <c r="L34" s="8" t="s">
        <v>957</v>
      </c>
      <c r="M34" s="8"/>
    </row>
    <row r="35" spans="2:13" x14ac:dyDescent="0.25">
      <c r="B35" s="8"/>
      <c r="C35" s="8"/>
      <c r="D35" s="13" t="s">
        <v>290</v>
      </c>
      <c r="E35" s="8" t="s">
        <v>289</v>
      </c>
      <c r="F35" s="62">
        <v>0.94299999999999995</v>
      </c>
      <c r="G35" s="136">
        <v>0.94299999999999995</v>
      </c>
      <c r="H35" s="155">
        <v>2</v>
      </c>
      <c r="I35" s="156" t="s">
        <v>1005</v>
      </c>
      <c r="J35" s="183">
        <v>0.94299999999999995</v>
      </c>
      <c r="K35" s="183"/>
      <c r="L35" s="8" t="s">
        <v>957</v>
      </c>
      <c r="M35" s="8"/>
    </row>
    <row r="36" spans="2:13" x14ac:dyDescent="0.25">
      <c r="B36" s="8"/>
      <c r="C36" s="8"/>
      <c r="D36" s="13" t="s">
        <v>291</v>
      </c>
      <c r="E36" s="8" t="s">
        <v>292</v>
      </c>
      <c r="F36" s="62">
        <v>0.32300000000000001</v>
      </c>
      <c r="G36" s="136">
        <v>0.32300000000000001</v>
      </c>
      <c r="H36" s="155">
        <v>2</v>
      </c>
      <c r="I36" s="156" t="s">
        <v>1005</v>
      </c>
      <c r="J36" s="183">
        <v>0.32300000000000001</v>
      </c>
      <c r="K36" s="183"/>
      <c r="L36" s="8" t="s">
        <v>957</v>
      </c>
      <c r="M36" s="8"/>
    </row>
    <row r="37" spans="2:13" x14ac:dyDescent="0.25">
      <c r="B37" s="8"/>
      <c r="C37" s="8"/>
      <c r="D37" s="13" t="s">
        <v>293</v>
      </c>
      <c r="E37" s="8" t="s">
        <v>294</v>
      </c>
      <c r="F37" s="62">
        <v>0.113</v>
      </c>
      <c r="G37" s="136">
        <v>0.113</v>
      </c>
      <c r="H37" s="155">
        <v>2</v>
      </c>
      <c r="I37" s="156" t="s">
        <v>1005</v>
      </c>
      <c r="J37" s="183">
        <v>0.113</v>
      </c>
      <c r="K37" s="183"/>
      <c r="L37" s="8" t="s">
        <v>957</v>
      </c>
      <c r="M37" s="8"/>
    </row>
    <row r="38" spans="2:13" x14ac:dyDescent="0.25">
      <c r="B38" s="8"/>
      <c r="C38" s="8"/>
      <c r="D38" s="13" t="s">
        <v>295</v>
      </c>
      <c r="E38" s="8" t="s">
        <v>296</v>
      </c>
      <c r="F38" s="62">
        <v>0.19500000000000001</v>
      </c>
      <c r="G38" s="136">
        <v>0.19500000000000001</v>
      </c>
      <c r="H38" s="155">
        <v>2</v>
      </c>
      <c r="I38" s="156" t="s">
        <v>1005</v>
      </c>
      <c r="J38" s="183">
        <v>0.19500000000000001</v>
      </c>
      <c r="K38" s="183"/>
      <c r="L38" s="8" t="s">
        <v>957</v>
      </c>
      <c r="M38" s="8"/>
    </row>
    <row r="39" spans="2:13" x14ac:dyDescent="0.25">
      <c r="B39" s="8"/>
      <c r="C39" s="8"/>
      <c r="D39" s="13" t="s">
        <v>297</v>
      </c>
      <c r="E39" s="8" t="s">
        <v>298</v>
      </c>
      <c r="F39" s="62">
        <v>0.13300000000000001</v>
      </c>
      <c r="G39" s="136">
        <v>0.13300000000000001</v>
      </c>
      <c r="H39" s="155">
        <v>2</v>
      </c>
      <c r="I39" s="156" t="s">
        <v>1005</v>
      </c>
      <c r="J39" s="183">
        <v>0.13300000000000001</v>
      </c>
      <c r="K39" s="183"/>
      <c r="L39" s="8" t="s">
        <v>957</v>
      </c>
      <c r="M39" s="8"/>
    </row>
    <row r="40" spans="2:13" x14ac:dyDescent="0.25">
      <c r="B40" s="8"/>
      <c r="C40" s="8"/>
      <c r="D40" s="13" t="s">
        <v>299</v>
      </c>
      <c r="E40" s="8" t="s">
        <v>300</v>
      </c>
      <c r="F40" s="62">
        <v>6.4000000000000001E-2</v>
      </c>
      <c r="G40" s="136">
        <v>6.4000000000000001E-2</v>
      </c>
      <c r="H40" s="155">
        <v>2</v>
      </c>
      <c r="I40" s="156" t="s">
        <v>1005</v>
      </c>
      <c r="J40" s="183">
        <v>6.4000000000000001E-2</v>
      </c>
      <c r="K40" s="183"/>
      <c r="L40" s="8" t="s">
        <v>957</v>
      </c>
      <c r="M40" s="8"/>
    </row>
    <row r="41" spans="2:13" x14ac:dyDescent="0.25">
      <c r="B41" s="8"/>
      <c r="C41" s="8"/>
      <c r="D41" s="13" t="s">
        <v>301</v>
      </c>
      <c r="E41" s="8" t="s">
        <v>302</v>
      </c>
      <c r="F41" s="62">
        <v>0.23300000000000001</v>
      </c>
      <c r="G41" s="136">
        <v>0.23300000000000001</v>
      </c>
      <c r="H41" s="155">
        <v>2</v>
      </c>
      <c r="I41" s="156" t="s">
        <v>1005</v>
      </c>
      <c r="J41" s="183">
        <v>0.23300000000000001</v>
      </c>
      <c r="K41" s="183"/>
      <c r="L41" s="8" t="s">
        <v>957</v>
      </c>
      <c r="M41" s="8"/>
    </row>
    <row r="42" spans="2:13" x14ac:dyDescent="0.25">
      <c r="B42" s="8"/>
      <c r="C42" s="8"/>
      <c r="D42" s="13" t="s">
        <v>303</v>
      </c>
      <c r="E42" s="8" t="s">
        <v>304</v>
      </c>
      <c r="F42" s="62">
        <v>0.504</v>
      </c>
      <c r="G42" s="136">
        <v>0.504</v>
      </c>
      <c r="H42" s="155">
        <v>2</v>
      </c>
      <c r="I42" s="156" t="s">
        <v>1005</v>
      </c>
      <c r="J42" s="183">
        <v>0.504</v>
      </c>
      <c r="K42" s="183"/>
      <c r="L42" s="8" t="s">
        <v>957</v>
      </c>
      <c r="M42" s="8"/>
    </row>
    <row r="43" spans="2:13" x14ac:dyDescent="0.25">
      <c r="B43" s="8"/>
      <c r="C43" s="8"/>
      <c r="D43" s="13" t="s">
        <v>305</v>
      </c>
      <c r="E43" s="8" t="s">
        <v>306</v>
      </c>
      <c r="F43" s="62">
        <v>0.70299999999999996</v>
      </c>
      <c r="G43" s="136">
        <v>0.70299999999999996</v>
      </c>
      <c r="H43" s="155">
        <v>2</v>
      </c>
      <c r="I43" s="156" t="s">
        <v>1005</v>
      </c>
      <c r="J43" s="183">
        <v>0.70299999999999996</v>
      </c>
      <c r="K43" s="183"/>
      <c r="L43" s="8" t="s">
        <v>957</v>
      </c>
      <c r="M43" s="8"/>
    </row>
    <row r="44" spans="2:13" x14ac:dyDescent="0.25">
      <c r="B44" s="8"/>
      <c r="C44" s="8"/>
      <c r="D44" s="13" t="s">
        <v>307</v>
      </c>
      <c r="E44" s="8" t="s">
        <v>308</v>
      </c>
      <c r="F44" s="62">
        <v>0.76300000000000001</v>
      </c>
      <c r="G44" s="136">
        <v>0.76300000000000001</v>
      </c>
      <c r="H44" s="155">
        <v>2</v>
      </c>
      <c r="I44" s="156" t="s">
        <v>1005</v>
      </c>
      <c r="J44" s="183">
        <v>0.76300000000000001</v>
      </c>
      <c r="K44" s="183"/>
      <c r="L44" s="8" t="s">
        <v>957</v>
      </c>
      <c r="M44" s="8"/>
    </row>
    <row r="45" spans="2:13" x14ac:dyDescent="0.25">
      <c r="B45" s="8"/>
      <c r="C45" s="8"/>
      <c r="D45" s="13" t="s">
        <v>309</v>
      </c>
      <c r="E45" s="8" t="s">
        <v>308</v>
      </c>
      <c r="F45" s="62">
        <v>0.76300000000000001</v>
      </c>
      <c r="G45" s="136">
        <v>0.76300000000000001</v>
      </c>
      <c r="H45" s="155">
        <v>2</v>
      </c>
      <c r="I45" s="156" t="s">
        <v>1005</v>
      </c>
      <c r="J45" s="183">
        <v>0.76300000000000001</v>
      </c>
      <c r="K45" s="183"/>
      <c r="L45" s="8" t="s">
        <v>957</v>
      </c>
      <c r="M45" s="8"/>
    </row>
    <row r="46" spans="2:13" x14ac:dyDescent="0.25">
      <c r="B46" s="8"/>
      <c r="C46" s="8"/>
      <c r="D46" s="13" t="s">
        <v>310</v>
      </c>
      <c r="E46" s="8" t="s">
        <v>311</v>
      </c>
      <c r="F46" s="62">
        <v>0.71399999999999997</v>
      </c>
      <c r="G46" s="136">
        <v>0.71399999999999997</v>
      </c>
      <c r="H46" s="155">
        <v>2</v>
      </c>
      <c r="I46" s="156" t="s">
        <v>1005</v>
      </c>
      <c r="J46" s="183">
        <v>0.71399999999999997</v>
      </c>
      <c r="K46" s="183"/>
      <c r="L46" s="8" t="s">
        <v>957</v>
      </c>
      <c r="M46" s="8"/>
    </row>
    <row r="47" spans="2:13" x14ac:dyDescent="0.25">
      <c r="B47" s="8"/>
      <c r="C47" s="8"/>
      <c r="D47" s="13" t="s">
        <v>312</v>
      </c>
      <c r="E47" s="8" t="s">
        <v>313</v>
      </c>
      <c r="F47" s="51">
        <v>0.67</v>
      </c>
      <c r="G47" s="51">
        <v>0.67</v>
      </c>
      <c r="H47" s="155">
        <v>2</v>
      </c>
      <c r="I47" s="156" t="s">
        <v>1005</v>
      </c>
      <c r="J47" s="51">
        <v>0.67</v>
      </c>
      <c r="K47" s="183"/>
      <c r="L47" s="8" t="s">
        <v>957</v>
      </c>
      <c r="M47" s="8"/>
    </row>
    <row r="48" spans="2:13" x14ac:dyDescent="0.25">
      <c r="B48" s="8"/>
      <c r="C48" s="8"/>
      <c r="D48" s="13" t="s">
        <v>314</v>
      </c>
      <c r="E48" s="8" t="s">
        <v>315</v>
      </c>
      <c r="F48" s="51">
        <v>0.75</v>
      </c>
      <c r="G48" s="51">
        <v>0.75</v>
      </c>
      <c r="H48" s="155">
        <v>2</v>
      </c>
      <c r="I48" s="156" t="s">
        <v>1005</v>
      </c>
      <c r="J48" s="51">
        <v>0.75</v>
      </c>
      <c r="K48" s="183"/>
      <c r="L48" s="8" t="s">
        <v>957</v>
      </c>
      <c r="M48" s="8"/>
    </row>
    <row r="49" spans="2:13" x14ac:dyDescent="0.25">
      <c r="B49" s="8"/>
      <c r="C49" s="8"/>
      <c r="D49" s="13" t="s">
        <v>316</v>
      </c>
      <c r="E49" s="8" t="s">
        <v>317</v>
      </c>
      <c r="F49" s="51">
        <v>0.72499999999999998</v>
      </c>
      <c r="G49" s="51">
        <v>0.72499999999999998</v>
      </c>
      <c r="H49" s="155">
        <v>2</v>
      </c>
      <c r="I49" s="156" t="s">
        <v>1005</v>
      </c>
      <c r="J49" s="51">
        <v>0.72499999999999998</v>
      </c>
      <c r="K49" s="183"/>
      <c r="L49" s="8" t="s">
        <v>957</v>
      </c>
      <c r="M49" s="8"/>
    </row>
    <row r="50" spans="2:13" x14ac:dyDescent="0.25">
      <c r="B50" s="8"/>
      <c r="C50" s="8"/>
      <c r="D50" s="13" t="s">
        <v>318</v>
      </c>
      <c r="E50" s="8" t="s">
        <v>319</v>
      </c>
      <c r="F50" s="51">
        <v>0.69799999999999995</v>
      </c>
      <c r="G50" s="51">
        <v>0.69799999999999995</v>
      </c>
      <c r="H50" s="155">
        <v>2</v>
      </c>
      <c r="I50" s="156" t="s">
        <v>1005</v>
      </c>
      <c r="J50" s="51">
        <v>0.69799999999999995</v>
      </c>
      <c r="K50" s="183"/>
      <c r="L50" s="8" t="s">
        <v>957</v>
      </c>
      <c r="M50" s="8"/>
    </row>
    <row r="51" spans="2:13" x14ac:dyDescent="0.25">
      <c r="B51" s="8"/>
      <c r="C51" s="8"/>
      <c r="D51" s="13" t="s">
        <v>320</v>
      </c>
      <c r="E51" s="8" t="s">
        <v>321</v>
      </c>
      <c r="F51" s="51">
        <v>0.63400000000000001</v>
      </c>
      <c r="G51" s="51">
        <v>0.63400000000000001</v>
      </c>
      <c r="H51" s="155">
        <v>2</v>
      </c>
      <c r="I51" s="156" t="s">
        <v>1005</v>
      </c>
      <c r="J51" s="51">
        <v>0.63400000000000001</v>
      </c>
      <c r="K51" s="183"/>
      <c r="L51" s="8" t="s">
        <v>957</v>
      </c>
      <c r="M51" s="8"/>
    </row>
    <row r="52" spans="2:13" x14ac:dyDescent="0.25">
      <c r="B52" s="8"/>
      <c r="C52" s="8"/>
      <c r="D52" s="13" t="s">
        <v>322</v>
      </c>
      <c r="E52" s="8" t="s">
        <v>323</v>
      </c>
      <c r="F52" s="51">
        <v>0.58399999999999996</v>
      </c>
      <c r="G52" s="51">
        <v>0.58399999999999996</v>
      </c>
      <c r="H52" s="155">
        <v>2</v>
      </c>
      <c r="I52" s="156" t="s">
        <v>1005</v>
      </c>
      <c r="J52" s="51">
        <v>0.58399999999999996</v>
      </c>
      <c r="K52" s="183"/>
      <c r="L52" s="8" t="s">
        <v>957</v>
      </c>
      <c r="M52" s="8"/>
    </row>
    <row r="53" spans="2:13" x14ac:dyDescent="0.25">
      <c r="B53" s="8"/>
      <c r="C53" s="8"/>
      <c r="D53" s="13" t="s">
        <v>324</v>
      </c>
      <c r="E53" s="8" t="s">
        <v>323</v>
      </c>
      <c r="F53" s="51">
        <v>0.58399999999999996</v>
      </c>
      <c r="G53" s="51">
        <v>0.58399999999999996</v>
      </c>
      <c r="H53" s="155">
        <v>2</v>
      </c>
      <c r="I53" s="156" t="s">
        <v>1005</v>
      </c>
      <c r="J53" s="51">
        <v>0.58399999999999996</v>
      </c>
      <c r="K53" s="183"/>
      <c r="L53" s="8" t="s">
        <v>957</v>
      </c>
      <c r="M53" s="8"/>
    </row>
    <row r="54" spans="2:13" x14ac:dyDescent="0.25">
      <c r="B54" s="8"/>
      <c r="C54" s="8"/>
      <c r="D54" s="13" t="s">
        <v>325</v>
      </c>
      <c r="E54" s="8" t="s">
        <v>326</v>
      </c>
      <c r="F54" s="51">
        <v>0.60599999999999998</v>
      </c>
      <c r="G54" s="51">
        <v>0.60599999999999998</v>
      </c>
      <c r="H54" s="155">
        <v>2</v>
      </c>
      <c r="I54" s="156" t="s">
        <v>1005</v>
      </c>
      <c r="J54" s="51">
        <v>0.60599999999999998</v>
      </c>
      <c r="K54" s="183"/>
      <c r="L54" s="8" t="s">
        <v>957</v>
      </c>
      <c r="M54" s="8"/>
    </row>
    <row r="55" spans="2:13" x14ac:dyDescent="0.25">
      <c r="B55" s="8"/>
      <c r="C55" s="8"/>
      <c r="D55" s="13" t="s">
        <v>327</v>
      </c>
      <c r="E55" s="8" t="s">
        <v>328</v>
      </c>
      <c r="F55" s="51">
        <v>0.60799999999999998</v>
      </c>
      <c r="G55" s="51">
        <v>0.60799999999999998</v>
      </c>
      <c r="H55" s="155">
        <v>2</v>
      </c>
      <c r="I55" s="156" t="s">
        <v>1005</v>
      </c>
      <c r="J55" s="51">
        <v>0.60799999999999998</v>
      </c>
      <c r="K55" s="183"/>
      <c r="L55" s="8" t="s">
        <v>957</v>
      </c>
      <c r="M55" s="8"/>
    </row>
    <row r="56" spans="2:13" x14ac:dyDescent="0.25">
      <c r="B56" s="8"/>
      <c r="C56" s="8"/>
      <c r="D56" s="13" t="s">
        <v>329</v>
      </c>
      <c r="E56" s="8" t="s">
        <v>330</v>
      </c>
      <c r="F56" s="51">
        <v>0.57599999999999996</v>
      </c>
      <c r="G56" s="51">
        <v>0.57599999999999996</v>
      </c>
      <c r="H56" s="155">
        <v>2</v>
      </c>
      <c r="I56" s="156" t="s">
        <v>1005</v>
      </c>
      <c r="J56" s="51">
        <v>0.57599999999999996</v>
      </c>
      <c r="K56" s="183"/>
      <c r="L56" s="8" t="s">
        <v>957</v>
      </c>
      <c r="M56" s="8"/>
    </row>
    <row r="57" spans="2:13" x14ac:dyDescent="0.25">
      <c r="B57" s="8"/>
      <c r="C57" s="8"/>
      <c r="D57" s="13" t="s">
        <v>331</v>
      </c>
      <c r="E57" s="8" t="s">
        <v>330</v>
      </c>
      <c r="F57" s="51">
        <v>0.54900000000000004</v>
      </c>
      <c r="G57" s="51">
        <v>0.54900000000000004</v>
      </c>
      <c r="H57" s="155">
        <v>2</v>
      </c>
      <c r="I57" s="156" t="s">
        <v>1005</v>
      </c>
      <c r="J57" s="51">
        <v>0.54900000000000004</v>
      </c>
      <c r="K57" s="183"/>
      <c r="L57" s="8" t="s">
        <v>957</v>
      </c>
      <c r="M57" s="8"/>
    </row>
    <row r="58" spans="2:13" x14ac:dyDescent="0.25">
      <c r="B58" s="8"/>
      <c r="C58" s="8"/>
      <c r="D58" s="13" t="s">
        <v>332</v>
      </c>
      <c r="E58" s="8" t="s">
        <v>333</v>
      </c>
      <c r="F58" s="51">
        <v>0.371</v>
      </c>
      <c r="G58" s="51">
        <v>0.371</v>
      </c>
      <c r="H58" s="155">
        <v>2</v>
      </c>
      <c r="I58" s="156" t="s">
        <v>1005</v>
      </c>
      <c r="J58" s="51">
        <v>0.371</v>
      </c>
      <c r="K58" s="183"/>
      <c r="L58" s="8" t="s">
        <v>957</v>
      </c>
      <c r="M58" s="8"/>
    </row>
    <row r="59" spans="2:13" x14ac:dyDescent="0.25">
      <c r="B59" s="8"/>
      <c r="C59" s="8"/>
      <c r="D59" s="13" t="s">
        <v>148</v>
      </c>
      <c r="E59" s="8"/>
      <c r="F59" s="62">
        <v>5.3010000000000002</v>
      </c>
      <c r="G59" s="136">
        <v>5.3010000000000002</v>
      </c>
      <c r="H59" s="155">
        <v>2</v>
      </c>
      <c r="I59" s="156" t="s">
        <v>1005</v>
      </c>
      <c r="J59" s="183">
        <v>5.3010000000000002</v>
      </c>
      <c r="K59" s="183"/>
      <c r="L59" s="8" t="s">
        <v>957</v>
      </c>
      <c r="M59" s="8"/>
    </row>
    <row r="60" spans="2:13" x14ac:dyDescent="0.25">
      <c r="B60" s="8"/>
      <c r="C60" s="8"/>
      <c r="D60" s="8"/>
      <c r="E60" s="62" t="s">
        <v>89</v>
      </c>
      <c r="F60" s="43">
        <f>SUM(F17:F59)</f>
        <v>28.687000000000005</v>
      </c>
      <c r="G60" s="43">
        <f>SUM(G17:G59)</f>
        <v>28.687000000000005</v>
      </c>
      <c r="H60" s="8"/>
      <c r="I60" s="8"/>
      <c r="J60" s="8"/>
      <c r="K60" s="8"/>
      <c r="L60" s="8"/>
      <c r="M60" s="8"/>
    </row>
    <row r="62" spans="2:13" x14ac:dyDescent="0.25">
      <c r="B62" s="129" t="s">
        <v>30</v>
      </c>
      <c r="C62" s="129"/>
      <c r="D62" s="129"/>
      <c r="E62" s="129"/>
      <c r="F62" s="129"/>
      <c r="G62" s="129"/>
      <c r="H62" s="129"/>
      <c r="I62" s="129"/>
      <c r="J62" s="129"/>
      <c r="K62" s="129"/>
      <c r="L62" s="129"/>
      <c r="M62" s="129"/>
    </row>
    <row r="64" spans="2:13" ht="15.75" thickBot="1" x14ac:dyDescent="0.3"/>
    <row r="65" spans="2:13" ht="19.5" thickBot="1" x14ac:dyDescent="0.3">
      <c r="B65" s="349" t="s">
        <v>18</v>
      </c>
      <c r="C65" s="350"/>
      <c r="D65" s="350"/>
      <c r="E65" s="350"/>
      <c r="F65" s="350"/>
      <c r="G65" s="350"/>
      <c r="H65" s="350"/>
      <c r="I65" s="350"/>
      <c r="J65" s="350"/>
      <c r="K65" s="350"/>
      <c r="L65" s="350"/>
      <c r="M65" s="351"/>
    </row>
    <row r="66" spans="2:13" x14ac:dyDescent="0.25">
      <c r="B66" s="357" t="s">
        <v>19</v>
      </c>
      <c r="C66" s="355"/>
      <c r="D66" s="355"/>
      <c r="E66" s="355"/>
      <c r="F66" s="355"/>
      <c r="G66" s="355"/>
      <c r="H66" s="355"/>
      <c r="I66" s="355" t="s">
        <v>1003</v>
      </c>
      <c r="J66" s="355"/>
      <c r="K66" s="355"/>
      <c r="L66" s="355"/>
      <c r="M66" s="356"/>
    </row>
    <row r="67" spans="2:13" x14ac:dyDescent="0.25">
      <c r="B67" s="352"/>
      <c r="C67" s="353"/>
      <c r="D67" s="353"/>
      <c r="E67" s="353"/>
      <c r="F67" s="353"/>
      <c r="G67" s="353"/>
      <c r="H67" s="353"/>
      <c r="I67" s="353"/>
      <c r="J67" s="353"/>
      <c r="K67" s="353"/>
      <c r="L67" s="353"/>
      <c r="M67" s="354"/>
    </row>
    <row r="68" spans="2:13" ht="15.75" thickBot="1" x14ac:dyDescent="0.3">
      <c r="B68" s="358" t="s">
        <v>23</v>
      </c>
      <c r="C68" s="359"/>
      <c r="D68" s="359"/>
      <c r="E68" s="359" t="s">
        <v>1092</v>
      </c>
      <c r="F68" s="359"/>
      <c r="G68" s="359"/>
      <c r="H68" s="359"/>
      <c r="I68" s="359"/>
      <c r="J68" s="359" t="s">
        <v>1093</v>
      </c>
      <c r="K68" s="359"/>
      <c r="L68" s="359"/>
      <c r="M68" s="360"/>
    </row>
    <row r="69" spans="2:13" ht="30" customHeight="1" thickBot="1" x14ac:dyDescent="0.3">
      <c r="B69" s="18" t="s">
        <v>12</v>
      </c>
      <c r="C69" s="19" t="s">
        <v>13</v>
      </c>
      <c r="D69" s="19" t="s">
        <v>63</v>
      </c>
      <c r="E69" s="19" t="s">
        <v>64</v>
      </c>
      <c r="F69" s="137" t="s">
        <v>998</v>
      </c>
      <c r="G69" s="137" t="s">
        <v>999</v>
      </c>
      <c r="H69" s="19" t="s">
        <v>14</v>
      </c>
      <c r="I69" s="19" t="s">
        <v>15</v>
      </c>
      <c r="J69" s="19" t="s">
        <v>1102</v>
      </c>
      <c r="K69" s="19" t="s">
        <v>1103</v>
      </c>
      <c r="L69" s="19" t="s">
        <v>16</v>
      </c>
      <c r="M69" s="20" t="s">
        <v>17</v>
      </c>
    </row>
    <row r="70" spans="2:13" x14ac:dyDescent="0.25">
      <c r="B70" s="9"/>
      <c r="C70" s="9"/>
      <c r="D70" s="75" t="s">
        <v>649</v>
      </c>
      <c r="E70" s="9"/>
      <c r="F70" s="9"/>
      <c r="G70" s="9"/>
      <c r="H70" s="9"/>
      <c r="I70" s="9"/>
      <c r="J70" s="9"/>
      <c r="K70" s="9"/>
      <c r="L70" s="9"/>
      <c r="M70" s="9"/>
    </row>
    <row r="71" spans="2:13" x14ac:dyDescent="0.25">
      <c r="B71" s="8"/>
      <c r="C71" s="8"/>
      <c r="D71" s="13" t="s">
        <v>1173</v>
      </c>
      <c r="E71" t="s">
        <v>439</v>
      </c>
      <c r="F71" s="81">
        <v>0.34399999999999997</v>
      </c>
      <c r="G71" s="81">
        <v>0.34399999999999997</v>
      </c>
      <c r="H71" s="155">
        <v>2</v>
      </c>
      <c r="I71" s="156" t="s">
        <v>1005</v>
      </c>
      <c r="J71" s="81">
        <v>0.34399999999999997</v>
      </c>
      <c r="K71" s="183"/>
      <c r="L71" s="8" t="s">
        <v>957</v>
      </c>
      <c r="M71" s="8"/>
    </row>
    <row r="72" spans="2:13" x14ac:dyDescent="0.25">
      <c r="B72" s="8"/>
      <c r="C72" s="8"/>
      <c r="D72" s="13" t="s">
        <v>47</v>
      </c>
      <c r="E72" s="70" t="s">
        <v>352</v>
      </c>
      <c r="F72" s="62">
        <v>0.22800000000000001</v>
      </c>
      <c r="G72" s="136">
        <v>0.22800000000000001</v>
      </c>
      <c r="H72" s="155">
        <v>2</v>
      </c>
      <c r="I72" s="156" t="s">
        <v>1005</v>
      </c>
      <c r="J72" s="183">
        <v>0.22800000000000001</v>
      </c>
      <c r="K72" s="183"/>
      <c r="L72" s="8" t="s">
        <v>957</v>
      </c>
      <c r="M72" s="8"/>
    </row>
    <row r="73" spans="2:13" x14ac:dyDescent="0.25">
      <c r="B73" s="8"/>
      <c r="C73" s="8"/>
      <c r="D73" s="13" t="s">
        <v>48</v>
      </c>
      <c r="E73" t="s">
        <v>353</v>
      </c>
      <c r="F73" s="51">
        <v>0.09</v>
      </c>
      <c r="G73" s="51">
        <v>0.09</v>
      </c>
      <c r="H73" s="155">
        <v>2</v>
      </c>
      <c r="I73" s="156" t="s">
        <v>1005</v>
      </c>
      <c r="J73" s="51">
        <v>0.09</v>
      </c>
      <c r="K73" s="183"/>
      <c r="L73" s="8" t="s">
        <v>957</v>
      </c>
      <c r="M73" s="8"/>
    </row>
    <row r="74" spans="2:13" x14ac:dyDescent="0.25">
      <c r="B74" s="8"/>
      <c r="C74" s="8"/>
      <c r="D74" s="71" t="s">
        <v>368</v>
      </c>
      <c r="E74" s="8" t="s">
        <v>335</v>
      </c>
      <c r="F74" s="62">
        <v>0.747</v>
      </c>
      <c r="G74" s="136">
        <v>0.747</v>
      </c>
      <c r="H74" s="155">
        <v>2</v>
      </c>
      <c r="I74" s="156" t="s">
        <v>1005</v>
      </c>
      <c r="J74" s="183">
        <v>0.747</v>
      </c>
      <c r="K74" s="183"/>
      <c r="L74" s="8" t="s">
        <v>957</v>
      </c>
      <c r="M74" s="8"/>
    </row>
    <row r="75" spans="2:13" x14ac:dyDescent="0.25">
      <c r="B75" s="8"/>
      <c r="C75" s="8"/>
      <c r="D75" s="13" t="s">
        <v>334</v>
      </c>
      <c r="E75" s="8" t="s">
        <v>357</v>
      </c>
      <c r="F75" s="62">
        <v>1.0980000000000001</v>
      </c>
      <c r="G75" s="136">
        <v>1.0980000000000001</v>
      </c>
      <c r="H75" s="155">
        <v>2</v>
      </c>
      <c r="I75" s="156" t="s">
        <v>1005</v>
      </c>
      <c r="J75" s="183">
        <v>1.0980000000000001</v>
      </c>
      <c r="K75" s="183"/>
      <c r="L75" s="8" t="s">
        <v>957</v>
      </c>
      <c r="M75" s="8"/>
    </row>
    <row r="76" spans="2:13" x14ac:dyDescent="0.25">
      <c r="B76" s="8"/>
      <c r="C76" s="8"/>
      <c r="D76" s="13" t="s">
        <v>336</v>
      </c>
      <c r="E76" s="8" t="s">
        <v>337</v>
      </c>
      <c r="F76" s="62">
        <v>0.71899999999999997</v>
      </c>
      <c r="G76" s="136">
        <v>0.71899999999999997</v>
      </c>
      <c r="H76" s="155">
        <v>2</v>
      </c>
      <c r="I76" s="156" t="s">
        <v>1005</v>
      </c>
      <c r="J76" s="183">
        <v>0.71899999999999997</v>
      </c>
      <c r="K76" s="183"/>
      <c r="L76" s="8" t="s">
        <v>957</v>
      </c>
      <c r="M76" s="8"/>
    </row>
    <row r="77" spans="2:13" x14ac:dyDescent="0.25">
      <c r="B77" s="8"/>
      <c r="C77" s="8"/>
      <c r="D77" s="13" t="s">
        <v>338</v>
      </c>
      <c r="E77" s="8" t="s">
        <v>339</v>
      </c>
      <c r="F77" s="62">
        <v>0.66500000000000004</v>
      </c>
      <c r="G77" s="136">
        <v>0.66500000000000004</v>
      </c>
      <c r="H77" s="155">
        <v>2</v>
      </c>
      <c r="I77" s="156" t="s">
        <v>1005</v>
      </c>
      <c r="J77" s="183">
        <v>0.66500000000000004</v>
      </c>
      <c r="K77" s="183"/>
      <c r="L77" s="8" t="s">
        <v>957</v>
      </c>
      <c r="M77" s="8"/>
    </row>
    <row r="78" spans="2:13" x14ac:dyDescent="0.25">
      <c r="B78" s="8"/>
      <c r="C78" s="8"/>
      <c r="D78" s="13" t="s">
        <v>340</v>
      </c>
      <c r="E78" s="8" t="s">
        <v>341</v>
      </c>
      <c r="F78" s="62">
        <v>0.61299999999999999</v>
      </c>
      <c r="G78" s="136">
        <v>0.61299999999999999</v>
      </c>
      <c r="H78" s="155">
        <v>2</v>
      </c>
      <c r="I78" s="156" t="s">
        <v>1005</v>
      </c>
      <c r="J78" s="183">
        <v>0.61299999999999999</v>
      </c>
      <c r="K78" s="183"/>
      <c r="L78" s="8" t="s">
        <v>957</v>
      </c>
      <c r="M78" s="8"/>
    </row>
    <row r="79" spans="2:13" x14ac:dyDescent="0.25">
      <c r="B79" s="8"/>
      <c r="C79" s="8"/>
      <c r="D79" s="13" t="s">
        <v>342</v>
      </c>
      <c r="E79" s="8" t="s">
        <v>343</v>
      </c>
      <c r="F79" s="62">
        <v>0.55900000000000005</v>
      </c>
      <c r="G79" s="136">
        <v>0.55900000000000005</v>
      </c>
      <c r="H79" s="155">
        <v>2</v>
      </c>
      <c r="I79" s="156" t="s">
        <v>1005</v>
      </c>
      <c r="J79" s="183">
        <v>0.55900000000000005</v>
      </c>
      <c r="K79" s="183"/>
      <c r="L79" s="8" t="s">
        <v>957</v>
      </c>
      <c r="M79" s="8"/>
    </row>
    <row r="80" spans="2:13" x14ac:dyDescent="0.25">
      <c r="B80" s="8"/>
      <c r="C80" s="8"/>
      <c r="D80" s="13" t="s">
        <v>344</v>
      </c>
      <c r="E80" s="8" t="s">
        <v>345</v>
      </c>
      <c r="F80" s="62">
        <v>0.505</v>
      </c>
      <c r="G80" s="136">
        <v>0.505</v>
      </c>
      <c r="H80" s="155">
        <v>2</v>
      </c>
      <c r="I80" s="156" t="s">
        <v>1005</v>
      </c>
      <c r="J80" s="183">
        <v>0.505</v>
      </c>
      <c r="K80" s="183"/>
      <c r="L80" s="8" t="s">
        <v>957</v>
      </c>
      <c r="M80" s="8"/>
    </row>
    <row r="81" spans="2:13" x14ac:dyDescent="0.25">
      <c r="B81" s="8"/>
      <c r="C81" s="8"/>
      <c r="D81" s="13" t="s">
        <v>346</v>
      </c>
      <c r="E81" s="8" t="s">
        <v>347</v>
      </c>
      <c r="F81" s="51">
        <v>0.45</v>
      </c>
      <c r="G81" s="51">
        <v>0.45</v>
      </c>
      <c r="H81" s="155">
        <v>2</v>
      </c>
      <c r="I81" s="156" t="s">
        <v>1005</v>
      </c>
      <c r="J81" s="51">
        <v>0.45</v>
      </c>
      <c r="K81" s="183"/>
      <c r="L81" s="8" t="s">
        <v>957</v>
      </c>
      <c r="M81" s="8"/>
    </row>
    <row r="82" spans="2:13" x14ac:dyDescent="0.25">
      <c r="B82" s="8"/>
      <c r="C82" s="8"/>
      <c r="D82" s="13" t="s">
        <v>348</v>
      </c>
      <c r="E82" s="8" t="s">
        <v>349</v>
      </c>
      <c r="F82" s="51">
        <v>0.42</v>
      </c>
      <c r="G82" s="51">
        <v>0.42</v>
      </c>
      <c r="H82" s="155">
        <v>2</v>
      </c>
      <c r="I82" s="156" t="s">
        <v>1005</v>
      </c>
      <c r="J82" s="51">
        <v>0.42</v>
      </c>
      <c r="K82" s="183"/>
      <c r="L82" s="8" t="s">
        <v>957</v>
      </c>
      <c r="M82" s="8"/>
    </row>
    <row r="83" spans="2:13" x14ac:dyDescent="0.25">
      <c r="B83" s="8"/>
      <c r="C83" s="8"/>
      <c r="D83" s="13" t="s">
        <v>350</v>
      </c>
      <c r="E83" s="8" t="s">
        <v>351</v>
      </c>
      <c r="F83" s="51">
        <v>0.42799999999999999</v>
      </c>
      <c r="G83" s="51">
        <v>0.42799999999999999</v>
      </c>
      <c r="H83" s="155">
        <v>2</v>
      </c>
      <c r="I83" s="156" t="s">
        <v>1005</v>
      </c>
      <c r="J83" s="51">
        <v>0.42799999999999999</v>
      </c>
      <c r="K83" s="183"/>
      <c r="L83" s="8" t="s">
        <v>957</v>
      </c>
      <c r="M83" s="8"/>
    </row>
    <row r="84" spans="2:13" x14ac:dyDescent="0.25">
      <c r="B84" s="8"/>
      <c r="C84" s="8"/>
      <c r="D84" s="13" t="s">
        <v>1174</v>
      </c>
      <c r="E84" s="8" t="s">
        <v>361</v>
      </c>
      <c r="F84" s="51">
        <v>0.14099999999999999</v>
      </c>
      <c r="G84" s="51">
        <v>0.14099999999999999</v>
      </c>
      <c r="H84" s="155">
        <v>2</v>
      </c>
      <c r="I84" s="156" t="s">
        <v>1005</v>
      </c>
      <c r="J84" s="51">
        <v>0.14099999999999999</v>
      </c>
      <c r="K84" s="183"/>
      <c r="L84" s="8" t="s">
        <v>957</v>
      </c>
      <c r="M84" s="8"/>
    </row>
    <row r="85" spans="2:13" x14ac:dyDescent="0.25">
      <c r="B85" s="8"/>
      <c r="C85" s="8"/>
      <c r="D85" s="13" t="s">
        <v>360</v>
      </c>
      <c r="E85" s="8" t="s">
        <v>354</v>
      </c>
      <c r="F85" s="51">
        <v>9.0999999999999998E-2</v>
      </c>
      <c r="G85" s="51">
        <v>9.0999999999999998E-2</v>
      </c>
      <c r="H85" s="155">
        <v>2</v>
      </c>
      <c r="I85" s="156" t="s">
        <v>1005</v>
      </c>
      <c r="J85" s="51">
        <v>9.0999999999999998E-2</v>
      </c>
      <c r="K85" s="183"/>
      <c r="L85" s="8" t="s">
        <v>957</v>
      </c>
      <c r="M85" s="8"/>
    </row>
    <row r="86" spans="2:13" x14ac:dyDescent="0.25">
      <c r="B86" s="8"/>
      <c r="C86" s="8"/>
      <c r="D86" s="13" t="s">
        <v>355</v>
      </c>
      <c r="E86" s="8" t="s">
        <v>356</v>
      </c>
      <c r="F86" s="51">
        <v>0.67500000000000004</v>
      </c>
      <c r="G86" s="51">
        <v>0.67500000000000004</v>
      </c>
      <c r="H86" s="155">
        <v>2</v>
      </c>
      <c r="I86" s="156" t="s">
        <v>1005</v>
      </c>
      <c r="J86" s="51">
        <v>0.67500000000000004</v>
      </c>
      <c r="K86" s="183"/>
      <c r="L86" s="8" t="s">
        <v>957</v>
      </c>
      <c r="M86" s="8"/>
    </row>
    <row r="87" spans="2:13" x14ac:dyDescent="0.25">
      <c r="B87" s="8"/>
      <c r="C87" s="8"/>
      <c r="D87" s="13" t="s">
        <v>358</v>
      </c>
      <c r="E87" s="8" t="s">
        <v>359</v>
      </c>
      <c r="F87" s="51">
        <v>0.41699999999999998</v>
      </c>
      <c r="G87" s="51">
        <v>0.41699999999999998</v>
      </c>
      <c r="H87" s="155">
        <v>2</v>
      </c>
      <c r="I87" s="156" t="s">
        <v>1005</v>
      </c>
      <c r="J87" s="51">
        <v>0.41699999999999998</v>
      </c>
      <c r="K87" s="183"/>
      <c r="L87" s="8" t="s">
        <v>957</v>
      </c>
      <c r="M87" s="8"/>
    </row>
    <row r="88" spans="2:13" x14ac:dyDescent="0.25">
      <c r="B88" s="8"/>
      <c r="C88" s="8"/>
      <c r="D88" s="13" t="s">
        <v>434</v>
      </c>
      <c r="E88" s="8" t="s">
        <v>435</v>
      </c>
      <c r="F88" s="51">
        <v>0.313</v>
      </c>
      <c r="G88" s="51">
        <v>0.313</v>
      </c>
      <c r="H88" s="155">
        <v>2</v>
      </c>
      <c r="I88" s="156" t="s">
        <v>1005</v>
      </c>
      <c r="J88" s="51">
        <v>0.313</v>
      </c>
      <c r="K88" s="183"/>
      <c r="L88" s="8" t="s">
        <v>957</v>
      </c>
      <c r="M88" s="8"/>
    </row>
    <row r="89" spans="2:13" x14ac:dyDescent="0.25">
      <c r="B89" s="8"/>
      <c r="C89" s="8"/>
      <c r="D89" s="13" t="s">
        <v>362</v>
      </c>
      <c r="E89" s="8" t="s">
        <v>363</v>
      </c>
      <c r="F89" s="51">
        <v>7.5999999999999998E-2</v>
      </c>
      <c r="G89" s="51">
        <v>7.5999999999999998E-2</v>
      </c>
      <c r="H89" s="155">
        <v>2</v>
      </c>
      <c r="I89" s="156" t="s">
        <v>1005</v>
      </c>
      <c r="J89" s="51">
        <v>7.5999999999999998E-2</v>
      </c>
      <c r="K89" s="183"/>
      <c r="L89" s="8" t="s">
        <v>957</v>
      </c>
      <c r="M89" s="8"/>
    </row>
    <row r="90" spans="2:13" x14ac:dyDescent="0.25">
      <c r="B90" s="8"/>
      <c r="C90" s="8"/>
      <c r="D90" s="13" t="s">
        <v>364</v>
      </c>
      <c r="E90" s="8" t="s">
        <v>365</v>
      </c>
      <c r="F90" s="51">
        <v>7.6999999999999999E-2</v>
      </c>
      <c r="G90" s="51">
        <v>7.6999999999999999E-2</v>
      </c>
      <c r="H90" s="155">
        <v>2</v>
      </c>
      <c r="I90" s="156" t="s">
        <v>1005</v>
      </c>
      <c r="J90" s="51">
        <v>7.6999999999999999E-2</v>
      </c>
      <c r="K90" s="183"/>
      <c r="L90" s="8" t="s">
        <v>957</v>
      </c>
      <c r="M90" s="8"/>
    </row>
    <row r="91" spans="2:13" x14ac:dyDescent="0.25">
      <c r="B91" s="8"/>
      <c r="C91" s="8"/>
      <c r="D91" s="13" t="s">
        <v>366</v>
      </c>
      <c r="E91" s="8" t="s">
        <v>367</v>
      </c>
      <c r="F91" s="51">
        <v>0.14399999999999999</v>
      </c>
      <c r="G91" s="51">
        <v>0.14399999999999999</v>
      </c>
      <c r="H91" s="155">
        <v>2</v>
      </c>
      <c r="I91" s="156" t="s">
        <v>1005</v>
      </c>
      <c r="J91" s="51">
        <v>0.14399999999999999</v>
      </c>
      <c r="K91" s="183"/>
      <c r="L91" s="8" t="s">
        <v>957</v>
      </c>
      <c r="M91" s="8"/>
    </row>
    <row r="92" spans="2:13" x14ac:dyDescent="0.25">
      <c r="B92" s="8"/>
      <c r="C92" s="8"/>
      <c r="D92" s="13" t="s">
        <v>148</v>
      </c>
      <c r="E92" s="8"/>
      <c r="F92" s="76">
        <v>1.958</v>
      </c>
      <c r="G92" s="136">
        <v>1.958</v>
      </c>
      <c r="H92" s="155">
        <v>2</v>
      </c>
      <c r="I92" s="156" t="s">
        <v>1005</v>
      </c>
      <c r="J92" s="183">
        <v>1.958</v>
      </c>
      <c r="K92" s="183"/>
      <c r="L92" s="8" t="s">
        <v>957</v>
      </c>
      <c r="M92" s="8"/>
    </row>
    <row r="93" spans="2:13" x14ac:dyDescent="0.25">
      <c r="B93" s="8"/>
      <c r="C93" s="8"/>
      <c r="D93" s="8"/>
      <c r="E93" s="76" t="s">
        <v>89</v>
      </c>
      <c r="F93" s="43">
        <f>SUM(F71:F92)</f>
        <v>10.758000000000001</v>
      </c>
      <c r="G93" s="43">
        <f>SUM(G71:G92)</f>
        <v>10.758000000000001</v>
      </c>
      <c r="H93" s="8"/>
      <c r="I93" s="8"/>
      <c r="J93" s="8"/>
      <c r="K93" s="8"/>
      <c r="L93" s="8"/>
      <c r="M93" s="8"/>
    </row>
    <row r="94" spans="2:13" x14ac:dyDescent="0.25">
      <c r="B94" s="8"/>
      <c r="C94" s="8"/>
      <c r="D94" s="72" t="s">
        <v>369</v>
      </c>
      <c r="E94" s="8"/>
      <c r="F94" s="51"/>
      <c r="G94" s="51"/>
      <c r="H94" s="8"/>
      <c r="I94" s="8"/>
      <c r="J94" s="8"/>
      <c r="K94" s="8"/>
      <c r="L94" s="8"/>
      <c r="M94" s="8"/>
    </row>
    <row r="95" spans="2:13" x14ac:dyDescent="0.25">
      <c r="B95" s="8"/>
      <c r="C95" s="8"/>
      <c r="D95" s="13" t="s">
        <v>1132</v>
      </c>
      <c r="E95" s="8" t="s">
        <v>370</v>
      </c>
      <c r="F95" s="51">
        <v>0.873</v>
      </c>
      <c r="G95" s="51">
        <v>0.873</v>
      </c>
      <c r="H95" s="155">
        <v>2</v>
      </c>
      <c r="I95" s="156" t="s">
        <v>1005</v>
      </c>
      <c r="J95" s="51">
        <v>0.873</v>
      </c>
      <c r="K95" s="183"/>
      <c r="L95" s="8" t="s">
        <v>957</v>
      </c>
      <c r="M95" s="8"/>
    </row>
    <row r="96" spans="2:13" x14ac:dyDescent="0.25">
      <c r="B96" s="8"/>
      <c r="C96" s="8"/>
      <c r="D96" s="13" t="s">
        <v>371</v>
      </c>
      <c r="E96" s="8" t="s">
        <v>372</v>
      </c>
      <c r="F96" s="51">
        <v>0.48599999999999999</v>
      </c>
      <c r="G96" s="51">
        <v>0.48599999999999999</v>
      </c>
      <c r="H96" s="155">
        <v>2</v>
      </c>
      <c r="I96" s="156" t="s">
        <v>1005</v>
      </c>
      <c r="J96" s="51">
        <v>0.48599999999999999</v>
      </c>
      <c r="K96" s="183"/>
      <c r="L96" s="8" t="s">
        <v>957</v>
      </c>
      <c r="M96" s="8"/>
    </row>
    <row r="97" spans="2:13" x14ac:dyDescent="0.25">
      <c r="B97" s="8"/>
      <c r="C97" s="8"/>
      <c r="D97" s="13" t="s">
        <v>1131</v>
      </c>
      <c r="E97" s="8" t="s">
        <v>373</v>
      </c>
      <c r="F97" s="51">
        <v>0.88700000000000001</v>
      </c>
      <c r="G97" s="51">
        <v>0.88700000000000001</v>
      </c>
      <c r="H97" s="155">
        <v>2</v>
      </c>
      <c r="I97" s="156" t="s">
        <v>1005</v>
      </c>
      <c r="J97" s="51">
        <v>0.88700000000000001</v>
      </c>
      <c r="K97" s="183"/>
      <c r="L97" s="8" t="s">
        <v>957</v>
      </c>
      <c r="M97" s="8"/>
    </row>
    <row r="98" spans="2:13" x14ac:dyDescent="0.25">
      <c r="B98" s="8"/>
      <c r="C98" s="8"/>
      <c r="D98" s="13" t="s">
        <v>35</v>
      </c>
      <c r="E98" s="8" t="s">
        <v>374</v>
      </c>
      <c r="F98" s="51">
        <v>0.40799999999999997</v>
      </c>
      <c r="G98" s="51">
        <v>0.40799999999999997</v>
      </c>
      <c r="H98" s="155">
        <v>2</v>
      </c>
      <c r="I98" s="156" t="s">
        <v>1005</v>
      </c>
      <c r="J98" s="51">
        <v>0.40799999999999997</v>
      </c>
      <c r="K98" s="183"/>
      <c r="L98" s="8" t="s">
        <v>957</v>
      </c>
      <c r="M98" s="8"/>
    </row>
    <row r="99" spans="2:13" x14ac:dyDescent="0.25">
      <c r="B99" s="8"/>
      <c r="C99" s="8"/>
      <c r="D99" s="13" t="s">
        <v>375</v>
      </c>
      <c r="E99" s="8" t="s">
        <v>374</v>
      </c>
      <c r="F99" s="51">
        <v>0.34</v>
      </c>
      <c r="G99" s="51">
        <v>0.34</v>
      </c>
      <c r="H99" s="155">
        <v>2</v>
      </c>
      <c r="I99" s="156" t="s">
        <v>1005</v>
      </c>
      <c r="J99" s="51">
        <v>0.34</v>
      </c>
      <c r="K99" s="183"/>
      <c r="L99" s="8" t="s">
        <v>957</v>
      </c>
      <c r="M99" s="8"/>
    </row>
    <row r="100" spans="2:13" x14ac:dyDescent="0.25">
      <c r="B100" s="8"/>
      <c r="C100" s="8"/>
      <c r="D100" s="13" t="s">
        <v>377</v>
      </c>
      <c r="E100" s="8" t="s">
        <v>376</v>
      </c>
      <c r="F100" s="62">
        <v>0.251</v>
      </c>
      <c r="G100" s="136">
        <v>0.251</v>
      </c>
      <c r="H100" s="155">
        <v>2</v>
      </c>
      <c r="I100" s="156" t="s">
        <v>1005</v>
      </c>
      <c r="J100" s="183">
        <v>0.251</v>
      </c>
      <c r="K100" s="183"/>
      <c r="L100" s="8" t="s">
        <v>957</v>
      </c>
      <c r="M100" s="8"/>
    </row>
    <row r="101" spans="2:13" x14ac:dyDescent="0.25">
      <c r="B101" s="8"/>
      <c r="C101" s="8"/>
      <c r="D101" s="13" t="s">
        <v>378</v>
      </c>
      <c r="E101" s="8" t="s">
        <v>379</v>
      </c>
      <c r="F101" s="62">
        <v>0.26400000000000001</v>
      </c>
      <c r="G101" s="136">
        <v>0.26400000000000001</v>
      </c>
      <c r="H101" s="155">
        <v>2</v>
      </c>
      <c r="I101" s="156" t="s">
        <v>1005</v>
      </c>
      <c r="J101" s="183">
        <v>0.26400000000000001</v>
      </c>
      <c r="K101" s="183"/>
      <c r="L101" s="8" t="s">
        <v>957</v>
      </c>
      <c r="M101" s="8"/>
    </row>
    <row r="102" spans="2:13" x14ac:dyDescent="0.25">
      <c r="B102" s="8"/>
      <c r="C102" s="8"/>
      <c r="D102" s="13" t="s">
        <v>380</v>
      </c>
      <c r="E102" s="8" t="s">
        <v>381</v>
      </c>
      <c r="F102" s="62">
        <v>0.35299999999999998</v>
      </c>
      <c r="G102" s="136">
        <v>0.35299999999999998</v>
      </c>
      <c r="H102" s="155">
        <v>2</v>
      </c>
      <c r="I102" s="156" t="s">
        <v>1005</v>
      </c>
      <c r="J102" s="183">
        <v>0.35299999999999998</v>
      </c>
      <c r="K102" s="183"/>
      <c r="L102" s="8" t="s">
        <v>957</v>
      </c>
      <c r="M102" s="8"/>
    </row>
    <row r="103" spans="2:13" x14ac:dyDescent="0.25">
      <c r="B103" s="8"/>
      <c r="C103" s="8"/>
      <c r="D103" s="13" t="s">
        <v>148</v>
      </c>
      <c r="E103" s="8"/>
      <c r="F103" s="83">
        <v>2.2599999999999998</v>
      </c>
      <c r="G103" s="83">
        <v>2.2599999999999998</v>
      </c>
      <c r="H103" s="155">
        <v>2</v>
      </c>
      <c r="I103" s="156" t="s">
        <v>1005</v>
      </c>
      <c r="J103" s="83">
        <v>2.2599999999999998</v>
      </c>
      <c r="K103" s="183"/>
      <c r="L103" s="8" t="s">
        <v>957</v>
      </c>
      <c r="M103" s="8"/>
    </row>
    <row r="104" spans="2:13" x14ac:dyDescent="0.25">
      <c r="B104" s="8"/>
      <c r="C104" s="8"/>
      <c r="D104" s="8"/>
      <c r="E104" s="76" t="s">
        <v>89</v>
      </c>
      <c r="F104" s="43">
        <f>SUM(F95:F103)</f>
        <v>6.121999999999999</v>
      </c>
      <c r="G104" s="43">
        <f>SUM(G95:G103)</f>
        <v>6.121999999999999</v>
      </c>
      <c r="H104" s="8"/>
      <c r="I104" s="8"/>
      <c r="J104" s="8"/>
      <c r="K104" s="8"/>
      <c r="L104" s="8"/>
      <c r="M104" s="8"/>
    </row>
    <row r="105" spans="2:13" x14ac:dyDescent="0.25">
      <c r="B105" s="8"/>
      <c r="C105" s="8"/>
      <c r="D105" s="8"/>
      <c r="E105" s="8"/>
      <c r="F105" s="8"/>
      <c r="G105" s="8"/>
      <c r="H105" s="8"/>
      <c r="I105" s="8"/>
      <c r="J105" s="8"/>
      <c r="K105" s="8"/>
      <c r="L105" s="8"/>
      <c r="M105" s="8"/>
    </row>
    <row r="107" spans="2:13" x14ac:dyDescent="0.25">
      <c r="B107" s="129" t="s">
        <v>30</v>
      </c>
      <c r="C107" s="129"/>
      <c r="D107" s="129"/>
      <c r="E107" s="129"/>
      <c r="F107" s="129"/>
      <c r="G107" s="129"/>
      <c r="H107" s="129"/>
      <c r="I107" s="129"/>
      <c r="J107" s="129"/>
      <c r="K107" s="129"/>
      <c r="L107" s="129"/>
      <c r="M107" s="129"/>
    </row>
    <row r="109" spans="2:13" ht="15.75" thickBot="1" x14ac:dyDescent="0.3"/>
    <row r="110" spans="2:13" ht="19.5" thickBot="1" x14ac:dyDescent="0.3">
      <c r="B110" s="349" t="s">
        <v>18</v>
      </c>
      <c r="C110" s="350"/>
      <c r="D110" s="350"/>
      <c r="E110" s="350"/>
      <c r="F110" s="350"/>
      <c r="G110" s="350"/>
      <c r="H110" s="350"/>
      <c r="I110" s="350"/>
      <c r="J110" s="350"/>
      <c r="K110" s="350"/>
      <c r="L110" s="350"/>
      <c r="M110" s="351"/>
    </row>
    <row r="111" spans="2:13" x14ac:dyDescent="0.25">
      <c r="B111" s="357" t="s">
        <v>19</v>
      </c>
      <c r="C111" s="355"/>
      <c r="D111" s="355"/>
      <c r="E111" s="355"/>
      <c r="F111" s="355"/>
      <c r="G111" s="355"/>
      <c r="H111" s="355"/>
      <c r="I111" s="355" t="s">
        <v>1003</v>
      </c>
      <c r="J111" s="355"/>
      <c r="K111" s="355"/>
      <c r="L111" s="355"/>
      <c r="M111" s="356"/>
    </row>
    <row r="112" spans="2:13" x14ac:dyDescent="0.25">
      <c r="B112" s="352"/>
      <c r="C112" s="353"/>
      <c r="D112" s="353"/>
      <c r="E112" s="353"/>
      <c r="F112" s="353"/>
      <c r="G112" s="353"/>
      <c r="H112" s="353"/>
      <c r="I112" s="353"/>
      <c r="J112" s="353"/>
      <c r="K112" s="353"/>
      <c r="L112" s="353"/>
      <c r="M112" s="354"/>
    </row>
    <row r="113" spans="2:13" ht="15.75" thickBot="1" x14ac:dyDescent="0.3">
      <c r="B113" s="358" t="s">
        <v>23</v>
      </c>
      <c r="C113" s="359"/>
      <c r="D113" s="359"/>
      <c r="E113" s="359" t="s">
        <v>1092</v>
      </c>
      <c r="F113" s="359"/>
      <c r="G113" s="359"/>
      <c r="H113" s="359"/>
      <c r="I113" s="359"/>
      <c r="J113" s="359" t="s">
        <v>1093</v>
      </c>
      <c r="K113" s="359"/>
      <c r="L113" s="359"/>
      <c r="M113" s="360"/>
    </row>
    <row r="114" spans="2:13" ht="30" customHeight="1" thickBot="1" x14ac:dyDescent="0.3">
      <c r="B114" s="18" t="s">
        <v>12</v>
      </c>
      <c r="C114" s="19" t="s">
        <v>13</v>
      </c>
      <c r="D114" s="19" t="s">
        <v>63</v>
      </c>
      <c r="E114" s="19" t="s">
        <v>64</v>
      </c>
      <c r="F114" s="137" t="s">
        <v>998</v>
      </c>
      <c r="G114" s="137" t="s">
        <v>999</v>
      </c>
      <c r="H114" s="19" t="s">
        <v>14</v>
      </c>
      <c r="I114" s="19" t="s">
        <v>15</v>
      </c>
      <c r="J114" s="19" t="s">
        <v>1102</v>
      </c>
      <c r="K114" s="19" t="s">
        <v>1103</v>
      </c>
      <c r="L114" s="19" t="s">
        <v>16</v>
      </c>
      <c r="M114" s="20" t="s">
        <v>17</v>
      </c>
    </row>
    <row r="115" spans="2:13" x14ac:dyDescent="0.25">
      <c r="B115" s="9"/>
      <c r="C115" s="9"/>
      <c r="D115" s="77" t="s">
        <v>390</v>
      </c>
      <c r="E115" s="9"/>
      <c r="F115" s="9"/>
      <c r="G115" s="9"/>
      <c r="H115" s="9"/>
      <c r="I115" s="9"/>
      <c r="J115" s="9"/>
      <c r="K115" s="9"/>
      <c r="L115" s="9"/>
      <c r="M115" s="9"/>
    </row>
    <row r="116" spans="2:13" x14ac:dyDescent="0.25">
      <c r="B116" s="8"/>
      <c r="C116" s="8"/>
      <c r="D116" s="34" t="s">
        <v>391</v>
      </c>
      <c r="E116" s="8" t="s">
        <v>392</v>
      </c>
      <c r="F116" s="63">
        <v>7.827</v>
      </c>
      <c r="G116" s="222">
        <v>7.827</v>
      </c>
      <c r="H116" s="155">
        <v>2</v>
      </c>
      <c r="I116" s="156" t="s">
        <v>1005</v>
      </c>
      <c r="J116" s="163"/>
      <c r="K116" s="183">
        <v>7.827</v>
      </c>
      <c r="L116" s="8" t="s">
        <v>957</v>
      </c>
      <c r="M116" s="58"/>
    </row>
    <row r="117" spans="2:13" x14ac:dyDescent="0.25">
      <c r="B117" s="8"/>
      <c r="C117" s="8"/>
      <c r="D117" s="58" t="s">
        <v>393</v>
      </c>
      <c r="E117" s="8" t="s">
        <v>394</v>
      </c>
      <c r="F117" s="63">
        <v>0.63300000000000001</v>
      </c>
      <c r="G117" s="222">
        <v>0.63300000000000001</v>
      </c>
      <c r="H117" s="155">
        <v>2</v>
      </c>
      <c r="I117" s="156" t="s">
        <v>1005</v>
      </c>
      <c r="J117" s="163"/>
      <c r="K117" s="183">
        <v>0.63300000000000001</v>
      </c>
      <c r="L117" s="8" t="s">
        <v>957</v>
      </c>
      <c r="M117" s="58"/>
    </row>
    <row r="118" spans="2:13" x14ac:dyDescent="0.25">
      <c r="B118" s="8"/>
      <c r="C118" s="8"/>
      <c r="D118" s="84" t="s">
        <v>395</v>
      </c>
      <c r="E118" s="8" t="s">
        <v>396</v>
      </c>
      <c r="F118" s="63">
        <v>3.633</v>
      </c>
      <c r="G118" s="222">
        <v>3.633</v>
      </c>
      <c r="H118" s="155">
        <v>2</v>
      </c>
      <c r="I118" s="156" t="s">
        <v>1005</v>
      </c>
      <c r="J118" s="163"/>
      <c r="K118" s="183">
        <v>3.633</v>
      </c>
      <c r="L118" s="8" t="s">
        <v>957</v>
      </c>
      <c r="M118" s="58"/>
    </row>
    <row r="119" spans="2:13" x14ac:dyDescent="0.25">
      <c r="B119" s="8"/>
      <c r="C119" s="8"/>
      <c r="D119" s="58" t="s">
        <v>397</v>
      </c>
      <c r="E119" s="8" t="s">
        <v>402</v>
      </c>
      <c r="F119" s="51">
        <v>0.52</v>
      </c>
      <c r="G119" s="51">
        <v>0.52</v>
      </c>
      <c r="H119" s="155">
        <v>2</v>
      </c>
      <c r="I119" s="156" t="s">
        <v>1005</v>
      </c>
      <c r="J119" s="163"/>
      <c r="K119" s="51">
        <v>0.52</v>
      </c>
      <c r="L119" s="8" t="s">
        <v>957</v>
      </c>
      <c r="M119" s="58"/>
    </row>
    <row r="120" spans="2:13" x14ac:dyDescent="0.25">
      <c r="B120" s="8"/>
      <c r="C120" s="8"/>
      <c r="D120" s="84" t="s">
        <v>400</v>
      </c>
      <c r="E120" s="8" t="s">
        <v>401</v>
      </c>
      <c r="F120" s="63">
        <v>1.9770000000000001</v>
      </c>
      <c r="G120" s="222">
        <v>1.9770000000000001</v>
      </c>
      <c r="H120" s="155">
        <v>2</v>
      </c>
      <c r="I120" s="156" t="s">
        <v>1005</v>
      </c>
      <c r="J120" s="163"/>
      <c r="K120" s="183">
        <v>1.9770000000000001</v>
      </c>
      <c r="L120" s="8" t="s">
        <v>957</v>
      </c>
      <c r="M120" s="58"/>
    </row>
    <row r="121" spans="2:13" x14ac:dyDescent="0.25">
      <c r="B121" s="8"/>
      <c r="C121" s="8"/>
      <c r="D121" s="58" t="s">
        <v>403</v>
      </c>
      <c r="E121" s="8" t="s">
        <v>404</v>
      </c>
      <c r="F121" s="63">
        <v>0.85199999999999998</v>
      </c>
      <c r="G121" s="222">
        <v>0.85199999999999998</v>
      </c>
      <c r="H121" s="155">
        <v>2</v>
      </c>
      <c r="I121" s="156" t="s">
        <v>1005</v>
      </c>
      <c r="J121" s="163"/>
      <c r="K121" s="183">
        <v>0.85199999999999998</v>
      </c>
      <c r="L121" s="8" t="s">
        <v>957</v>
      </c>
      <c r="M121" s="58"/>
    </row>
    <row r="122" spans="2:13" x14ac:dyDescent="0.25">
      <c r="B122" s="8"/>
      <c r="C122" s="8"/>
      <c r="D122" s="84" t="s">
        <v>405</v>
      </c>
      <c r="E122" s="8" t="s">
        <v>406</v>
      </c>
      <c r="F122" s="63">
        <v>5.1280000000000001</v>
      </c>
      <c r="G122" s="222">
        <v>5.1280000000000001</v>
      </c>
      <c r="H122" s="155">
        <v>2</v>
      </c>
      <c r="I122" s="156" t="s">
        <v>1005</v>
      </c>
      <c r="J122" s="163"/>
      <c r="K122" s="183">
        <v>5.1280000000000001</v>
      </c>
      <c r="L122" s="8" t="s">
        <v>957</v>
      </c>
      <c r="M122" s="58"/>
    </row>
    <row r="123" spans="2:13" x14ac:dyDescent="0.25">
      <c r="B123" s="8"/>
      <c r="C123" s="8"/>
      <c r="D123" s="58" t="s">
        <v>407</v>
      </c>
      <c r="E123" s="8" t="s">
        <v>440</v>
      </c>
      <c r="F123" s="51">
        <v>0.29599999999999999</v>
      </c>
      <c r="G123" s="51">
        <v>0.29599999999999999</v>
      </c>
      <c r="H123" s="155">
        <v>2</v>
      </c>
      <c r="I123" s="156" t="s">
        <v>1005</v>
      </c>
      <c r="J123" s="163"/>
      <c r="K123" s="51">
        <v>0.29599999999999999</v>
      </c>
      <c r="L123" s="8" t="s">
        <v>957</v>
      </c>
      <c r="M123" s="58"/>
    </row>
    <row r="124" spans="2:13" x14ac:dyDescent="0.25">
      <c r="B124" s="8"/>
      <c r="C124" s="8"/>
      <c r="D124" s="8"/>
      <c r="E124" s="63" t="s">
        <v>89</v>
      </c>
      <c r="F124" s="43">
        <f>SUM(F116:F123)</f>
        <v>20.866</v>
      </c>
      <c r="G124" s="43">
        <f>SUM(G116:G123)</f>
        <v>20.866</v>
      </c>
      <c r="H124" s="8"/>
      <c r="I124" s="8"/>
      <c r="J124" s="8"/>
      <c r="K124" s="8"/>
      <c r="L124" s="8"/>
      <c r="M124" s="8"/>
    </row>
    <row r="125" spans="2:13" x14ac:dyDescent="0.25">
      <c r="B125" s="8"/>
      <c r="C125" s="8"/>
      <c r="D125" s="54" t="s">
        <v>408</v>
      </c>
      <c r="E125" s="8"/>
      <c r="F125" s="63"/>
      <c r="G125" s="136"/>
      <c r="H125" s="8"/>
      <c r="I125" s="8"/>
      <c r="J125" s="8"/>
      <c r="K125" s="8"/>
      <c r="L125" s="8"/>
      <c r="M125" s="8"/>
    </row>
    <row r="126" spans="2:13" x14ac:dyDescent="0.25">
      <c r="B126" s="8"/>
      <c r="C126" s="8"/>
      <c r="D126" s="34" t="s">
        <v>409</v>
      </c>
      <c r="E126" s="8" t="s">
        <v>410</v>
      </c>
      <c r="F126" s="52">
        <f>2.156*2</f>
        <v>4.3120000000000003</v>
      </c>
      <c r="G126" s="52">
        <f>2.156*2</f>
        <v>4.3120000000000003</v>
      </c>
      <c r="H126" s="155">
        <v>2</v>
      </c>
      <c r="I126" s="156" t="s">
        <v>1005</v>
      </c>
      <c r="J126" s="163"/>
      <c r="K126" s="55">
        <f>2.156*2</f>
        <v>4.3120000000000003</v>
      </c>
      <c r="L126" s="8" t="s">
        <v>957</v>
      </c>
      <c r="M126" s="122" t="s">
        <v>1027</v>
      </c>
    </row>
    <row r="127" spans="2:13" x14ac:dyDescent="0.25">
      <c r="B127" s="8"/>
      <c r="C127" s="8"/>
      <c r="D127" s="58" t="s">
        <v>411</v>
      </c>
      <c r="F127" s="8"/>
      <c r="G127" s="8"/>
      <c r="H127" s="8"/>
      <c r="I127" s="8"/>
      <c r="J127" s="8"/>
      <c r="K127" s="123"/>
      <c r="L127" s="8"/>
      <c r="M127" s="8"/>
    </row>
    <row r="128" spans="2:13" x14ac:dyDescent="0.25">
      <c r="B128" s="8"/>
      <c r="C128" s="8"/>
      <c r="D128" s="13" t="s">
        <v>1130</v>
      </c>
      <c r="E128" s="8" t="s">
        <v>412</v>
      </c>
      <c r="F128" s="63">
        <v>1.321</v>
      </c>
      <c r="G128" s="136">
        <v>1.321</v>
      </c>
      <c r="H128" s="155">
        <v>2</v>
      </c>
      <c r="I128" s="156" t="s">
        <v>1005</v>
      </c>
      <c r="J128" s="183">
        <v>1.321</v>
      </c>
      <c r="K128" s="55"/>
      <c r="L128" s="8" t="s">
        <v>957</v>
      </c>
      <c r="M128" s="8"/>
    </row>
    <row r="129" spans="2:13" x14ac:dyDescent="0.25">
      <c r="B129" s="8"/>
      <c r="C129" s="8"/>
      <c r="D129" s="13" t="s">
        <v>33</v>
      </c>
      <c r="E129" s="8" t="s">
        <v>413</v>
      </c>
      <c r="F129" s="63">
        <v>0.78600000000000003</v>
      </c>
      <c r="G129" s="136">
        <v>0.78600000000000003</v>
      </c>
      <c r="H129" s="155">
        <v>2</v>
      </c>
      <c r="I129" s="156" t="s">
        <v>1005</v>
      </c>
      <c r="J129" s="183">
        <v>0.78600000000000003</v>
      </c>
      <c r="K129" s="55"/>
      <c r="L129" s="8" t="s">
        <v>957</v>
      </c>
      <c r="M129" s="8"/>
    </row>
    <row r="130" spans="2:13" x14ac:dyDescent="0.25">
      <c r="B130" s="8"/>
      <c r="C130" s="8"/>
      <c r="D130" s="13" t="s">
        <v>34</v>
      </c>
      <c r="E130" s="8" t="s">
        <v>414</v>
      </c>
      <c r="F130" s="63">
        <v>0.68200000000000005</v>
      </c>
      <c r="G130" s="136">
        <v>0.68200000000000005</v>
      </c>
      <c r="H130" s="155">
        <v>2</v>
      </c>
      <c r="I130" s="156" t="s">
        <v>1005</v>
      </c>
      <c r="J130" s="183">
        <v>0.68200000000000005</v>
      </c>
      <c r="K130" s="55"/>
      <c r="L130" s="8" t="s">
        <v>957</v>
      </c>
      <c r="M130" s="8"/>
    </row>
    <row r="131" spans="2:13" x14ac:dyDescent="0.25">
      <c r="B131" s="8"/>
      <c r="C131" s="8"/>
      <c r="D131" s="13" t="s">
        <v>37</v>
      </c>
      <c r="E131" s="8" t="s">
        <v>415</v>
      </c>
      <c r="F131" s="63">
        <v>0.68100000000000005</v>
      </c>
      <c r="G131" s="136">
        <v>0.68100000000000005</v>
      </c>
      <c r="H131" s="155">
        <v>2</v>
      </c>
      <c r="I131" s="156" t="s">
        <v>1005</v>
      </c>
      <c r="J131" s="183">
        <v>0.68100000000000005</v>
      </c>
      <c r="K131" s="55"/>
      <c r="L131" s="8" t="s">
        <v>957</v>
      </c>
      <c r="M131" s="8"/>
    </row>
    <row r="132" spans="2:13" x14ac:dyDescent="0.25">
      <c r="B132" s="8"/>
      <c r="C132" s="8"/>
      <c r="D132" s="13" t="s">
        <v>1129</v>
      </c>
      <c r="E132" s="8" t="s">
        <v>416</v>
      </c>
      <c r="F132" s="63">
        <v>1.2969999999999999</v>
      </c>
      <c r="G132" s="136">
        <v>1.2969999999999999</v>
      </c>
      <c r="H132" s="155">
        <v>2</v>
      </c>
      <c r="I132" s="156" t="s">
        <v>1005</v>
      </c>
      <c r="J132" s="183">
        <v>1.2969999999999999</v>
      </c>
      <c r="K132" s="55"/>
      <c r="L132" s="8" t="s">
        <v>957</v>
      </c>
      <c r="M132" s="8"/>
    </row>
    <row r="133" spans="2:13" x14ac:dyDescent="0.25">
      <c r="B133" s="8"/>
      <c r="C133" s="8"/>
      <c r="D133" s="13" t="s">
        <v>419</v>
      </c>
      <c r="E133" s="8" t="s">
        <v>417</v>
      </c>
      <c r="F133" s="63">
        <v>0.91100000000000003</v>
      </c>
      <c r="G133" s="136">
        <v>0.91100000000000003</v>
      </c>
      <c r="H133" s="155">
        <v>2</v>
      </c>
      <c r="I133" s="156" t="s">
        <v>1005</v>
      </c>
      <c r="J133" s="183">
        <v>0.91100000000000003</v>
      </c>
      <c r="K133" s="55"/>
      <c r="L133" s="8" t="s">
        <v>957</v>
      </c>
      <c r="M133" s="8"/>
    </row>
    <row r="134" spans="2:13" x14ac:dyDescent="0.25">
      <c r="B134" s="8"/>
      <c r="C134" s="8"/>
      <c r="D134" s="13" t="s">
        <v>420</v>
      </c>
      <c r="E134" s="8" t="s">
        <v>418</v>
      </c>
      <c r="F134" s="63">
        <v>0.67400000000000004</v>
      </c>
      <c r="G134" s="136">
        <v>0.67400000000000004</v>
      </c>
      <c r="H134" s="155">
        <v>2</v>
      </c>
      <c r="I134" s="156" t="s">
        <v>1005</v>
      </c>
      <c r="J134" s="183">
        <v>0.67400000000000004</v>
      </c>
      <c r="K134" s="55"/>
      <c r="L134" s="8" t="s">
        <v>957</v>
      </c>
      <c r="M134" s="8"/>
    </row>
    <row r="135" spans="2:13" x14ac:dyDescent="0.25">
      <c r="B135" s="8"/>
      <c r="C135" s="8"/>
      <c r="D135" s="13" t="s">
        <v>421</v>
      </c>
      <c r="E135" s="8" t="s">
        <v>422</v>
      </c>
      <c r="F135" s="63">
        <v>0.20100000000000001</v>
      </c>
      <c r="G135" s="136">
        <v>0.20100000000000001</v>
      </c>
      <c r="H135" s="155">
        <v>2</v>
      </c>
      <c r="I135" s="156" t="s">
        <v>1005</v>
      </c>
      <c r="J135" s="183">
        <v>0.20100000000000001</v>
      </c>
      <c r="K135" s="55"/>
      <c r="L135" s="8" t="s">
        <v>957</v>
      </c>
      <c r="M135" s="8"/>
    </row>
    <row r="136" spans="2:13" x14ac:dyDescent="0.25">
      <c r="B136" s="8"/>
      <c r="C136" s="8"/>
      <c r="D136" s="13" t="s">
        <v>423</v>
      </c>
      <c r="E136" s="8" t="s">
        <v>424</v>
      </c>
      <c r="F136" s="63">
        <v>0.17399999999999999</v>
      </c>
      <c r="G136" s="136">
        <v>0.17399999999999999</v>
      </c>
      <c r="H136" s="155">
        <v>2</v>
      </c>
      <c r="I136" s="156" t="s">
        <v>1005</v>
      </c>
      <c r="J136" s="183">
        <v>0.17399999999999999</v>
      </c>
      <c r="K136" s="55"/>
      <c r="L136" s="8" t="s">
        <v>957</v>
      </c>
      <c r="M136" s="8"/>
    </row>
    <row r="137" spans="2:13" x14ac:dyDescent="0.25">
      <c r="B137" s="8"/>
      <c r="C137" s="8"/>
      <c r="D137" s="13" t="s">
        <v>425</v>
      </c>
      <c r="E137" s="8" t="s">
        <v>424</v>
      </c>
      <c r="F137" s="63">
        <v>0.17399999999999999</v>
      </c>
      <c r="G137" s="136">
        <v>0.17399999999999999</v>
      </c>
      <c r="H137" s="155">
        <v>2</v>
      </c>
      <c r="I137" s="156" t="s">
        <v>1005</v>
      </c>
      <c r="J137" s="183">
        <v>0.17399999999999999</v>
      </c>
      <c r="K137" s="55"/>
      <c r="L137" s="8" t="s">
        <v>957</v>
      </c>
      <c r="M137" s="8"/>
    </row>
    <row r="138" spans="2:13" x14ac:dyDescent="0.25">
      <c r="B138" s="8"/>
      <c r="C138" s="8"/>
      <c r="D138" s="13" t="s">
        <v>148</v>
      </c>
      <c r="E138" s="8"/>
      <c r="F138" s="55">
        <v>1.8640000000000001</v>
      </c>
      <c r="G138" s="55">
        <v>1.8640000000000001</v>
      </c>
      <c r="H138" s="155">
        <v>2</v>
      </c>
      <c r="I138" s="156" t="s">
        <v>1005</v>
      </c>
      <c r="J138" s="55">
        <v>1.8640000000000001</v>
      </c>
      <c r="K138" s="55"/>
      <c r="L138" s="8" t="s">
        <v>957</v>
      </c>
      <c r="M138" s="8"/>
    </row>
    <row r="139" spans="2:13" x14ac:dyDescent="0.25">
      <c r="B139" s="8"/>
      <c r="C139" s="8"/>
      <c r="D139" s="8"/>
      <c r="E139" s="63" t="s">
        <v>89</v>
      </c>
      <c r="F139" s="43">
        <f>SUM(F128:F138)</f>
        <v>8.7650000000000023</v>
      </c>
      <c r="G139" s="43">
        <f>SUM(G128:G138)</f>
        <v>8.7650000000000023</v>
      </c>
      <c r="H139" s="8"/>
      <c r="I139" s="8"/>
      <c r="J139" s="8"/>
      <c r="K139" s="123"/>
      <c r="L139" s="8"/>
      <c r="M139" s="8"/>
    </row>
    <row r="140" spans="2:13" x14ac:dyDescent="0.25">
      <c r="B140" s="8"/>
      <c r="C140" s="8"/>
      <c r="D140" s="34" t="s">
        <v>426</v>
      </c>
      <c r="E140" s="8" t="s">
        <v>427</v>
      </c>
      <c r="F140" s="52">
        <f>5.069*2</f>
        <v>10.138</v>
      </c>
      <c r="G140" s="52">
        <f>5.069*2</f>
        <v>10.138</v>
      </c>
      <c r="H140" s="155">
        <v>2</v>
      </c>
      <c r="I140" s="156" t="s">
        <v>1005</v>
      </c>
      <c r="J140" s="163"/>
      <c r="K140" s="55">
        <f>5.069*2</f>
        <v>10.138</v>
      </c>
      <c r="L140" s="8" t="s">
        <v>957</v>
      </c>
      <c r="M140" s="122" t="s">
        <v>1028</v>
      </c>
    </row>
    <row r="141" spans="2:13" x14ac:dyDescent="0.25">
      <c r="B141" s="8"/>
      <c r="C141" s="8"/>
      <c r="D141" s="58" t="s">
        <v>428</v>
      </c>
      <c r="E141" s="8"/>
      <c r="F141" s="8"/>
      <c r="G141" s="8"/>
      <c r="H141" s="8"/>
      <c r="I141" s="8"/>
      <c r="J141" s="8"/>
      <c r="K141" s="123"/>
      <c r="L141" s="8"/>
      <c r="M141" s="8"/>
    </row>
    <row r="142" spans="2:13" x14ac:dyDescent="0.25">
      <c r="B142" s="8"/>
      <c r="C142" s="8"/>
      <c r="D142" s="13" t="s">
        <v>1128</v>
      </c>
      <c r="E142" s="8" t="s">
        <v>429</v>
      </c>
      <c r="F142" s="63">
        <v>8.3000000000000004E-2</v>
      </c>
      <c r="G142" s="136">
        <v>8.3000000000000004E-2</v>
      </c>
      <c r="H142" s="155">
        <v>2</v>
      </c>
      <c r="I142" s="156" t="s">
        <v>1005</v>
      </c>
      <c r="J142" s="183">
        <v>8.3000000000000004E-2</v>
      </c>
      <c r="K142" s="55"/>
      <c r="L142" s="8" t="s">
        <v>957</v>
      </c>
      <c r="M142" s="8"/>
    </row>
    <row r="143" spans="2:13" x14ac:dyDescent="0.25">
      <c r="B143" s="8"/>
      <c r="C143" s="8"/>
      <c r="D143" s="13" t="s">
        <v>33</v>
      </c>
      <c r="E143" s="8" t="s">
        <v>430</v>
      </c>
      <c r="F143" s="63">
        <v>0.122</v>
      </c>
      <c r="G143" s="136">
        <v>0.122</v>
      </c>
      <c r="H143" s="155">
        <v>2</v>
      </c>
      <c r="I143" s="156" t="s">
        <v>1005</v>
      </c>
      <c r="J143" s="183">
        <v>0.122</v>
      </c>
      <c r="K143" s="55"/>
      <c r="L143" s="8" t="s">
        <v>957</v>
      </c>
      <c r="M143" s="8"/>
    </row>
    <row r="144" spans="2:13" x14ac:dyDescent="0.25">
      <c r="B144" s="8"/>
      <c r="C144" s="8"/>
      <c r="D144" s="13" t="s">
        <v>960</v>
      </c>
      <c r="E144" s="8" t="s">
        <v>431</v>
      </c>
      <c r="F144" s="51">
        <v>0.11</v>
      </c>
      <c r="G144" s="51">
        <v>0.11</v>
      </c>
      <c r="H144" s="155">
        <v>2</v>
      </c>
      <c r="I144" s="156" t="s">
        <v>1005</v>
      </c>
      <c r="J144" s="51">
        <v>0.11</v>
      </c>
      <c r="K144" s="55"/>
      <c r="L144" s="8" t="s">
        <v>957</v>
      </c>
      <c r="M144" s="8"/>
    </row>
    <row r="145" spans="2:13" x14ac:dyDescent="0.25">
      <c r="B145" s="8"/>
      <c r="C145" s="8"/>
      <c r="D145" s="13" t="s">
        <v>148</v>
      </c>
      <c r="E145" s="8"/>
      <c r="F145" s="63">
        <v>0.29299999999999998</v>
      </c>
      <c r="G145" s="136">
        <v>0.29299999999999998</v>
      </c>
      <c r="H145" s="155">
        <v>2</v>
      </c>
      <c r="I145" s="156" t="s">
        <v>1005</v>
      </c>
      <c r="J145" s="183">
        <v>0.29299999999999998</v>
      </c>
      <c r="K145" s="55"/>
      <c r="L145" s="8" t="s">
        <v>957</v>
      </c>
      <c r="M145" s="8"/>
    </row>
    <row r="146" spans="2:13" x14ac:dyDescent="0.25">
      <c r="B146" s="8"/>
      <c r="C146" s="8"/>
      <c r="D146" s="8"/>
      <c r="E146" s="63" t="s">
        <v>89</v>
      </c>
      <c r="F146" s="43">
        <f>SUM(F142:F145)</f>
        <v>0.60799999999999998</v>
      </c>
      <c r="G146" s="43">
        <f>SUM(G142:G145)</f>
        <v>0.60799999999999998</v>
      </c>
      <c r="H146" s="8"/>
      <c r="I146" s="8"/>
      <c r="J146" s="8"/>
      <c r="K146" s="123"/>
      <c r="L146" s="8"/>
      <c r="M146" s="8"/>
    </row>
    <row r="147" spans="2:13" x14ac:dyDescent="0.25">
      <c r="B147" s="8"/>
      <c r="C147" s="8"/>
      <c r="D147" s="34" t="s">
        <v>432</v>
      </c>
      <c r="E147" s="8" t="s">
        <v>433</v>
      </c>
      <c r="F147" s="52">
        <f>1.762*2</f>
        <v>3.524</v>
      </c>
      <c r="G147" s="52">
        <f>1.762*2</f>
        <v>3.524</v>
      </c>
      <c r="H147" s="55">
        <v>2</v>
      </c>
      <c r="I147" s="156" t="s">
        <v>1005</v>
      </c>
      <c r="J147" s="163"/>
      <c r="K147" s="55">
        <f>1.762*2</f>
        <v>3.524</v>
      </c>
      <c r="L147" s="8" t="s">
        <v>957</v>
      </c>
      <c r="M147" s="158" t="s">
        <v>1038</v>
      </c>
    </row>
    <row r="148" spans="2:13" ht="15.75" thickBot="1" x14ac:dyDescent="0.3">
      <c r="B148" s="8"/>
      <c r="C148" s="8"/>
      <c r="D148" s="8"/>
      <c r="E148" s="8"/>
      <c r="F148" s="8"/>
      <c r="G148" s="8"/>
      <c r="H148" s="8"/>
      <c r="I148" s="8"/>
      <c r="J148" s="8"/>
      <c r="K148" s="8"/>
      <c r="L148" s="8"/>
      <c r="M148" s="8"/>
    </row>
    <row r="149" spans="2:13" ht="15.75" thickBot="1" x14ac:dyDescent="0.3">
      <c r="B149" s="157" t="s">
        <v>1007</v>
      </c>
      <c r="E149" s="95" t="s">
        <v>705</v>
      </c>
      <c r="F149" s="104">
        <f>SUM(F60,F15,F14,F93,F104,F124,F126,F139,F140,F146,F147)</f>
        <v>121.01800000000001</v>
      </c>
      <c r="G149" s="104">
        <f>SUM(G15,G14,G60,G93,G104,G124,G126,G139,G140,G146,G147)</f>
        <v>121.01800000000001</v>
      </c>
      <c r="I149" s="203" t="s">
        <v>11</v>
      </c>
      <c r="J149" s="215">
        <f>SUM(J9:J60,J71:J104,J116:J147)</f>
        <v>60.07</v>
      </c>
      <c r="K149" s="215">
        <f>SUM(K9:K60,K71:K104,K116:K147)</f>
        <v>60.947999999999993</v>
      </c>
      <c r="L149" s="61" t="s">
        <v>1035</v>
      </c>
      <c r="M149" s="219">
        <f>J149+K149</f>
        <v>121.018</v>
      </c>
    </row>
    <row r="150" spans="2:13" x14ac:dyDescent="0.25">
      <c r="B150" s="129" t="s">
        <v>30</v>
      </c>
      <c r="C150" s="129"/>
      <c r="D150" s="129"/>
      <c r="E150" s="129"/>
      <c r="F150" s="129"/>
      <c r="G150" s="129"/>
      <c r="H150" s="129"/>
      <c r="I150" s="205" t="s">
        <v>1104</v>
      </c>
      <c r="J150" s="206">
        <f>SUM(J71:J103,J116:J148)*1000*5</f>
        <v>131265</v>
      </c>
      <c r="K150" s="206">
        <f>SUM(K15,K116:K148)*1000*6</f>
        <v>365687.99999999994</v>
      </c>
      <c r="L150" s="207" t="s">
        <v>1155</v>
      </c>
      <c r="M150" s="129"/>
    </row>
    <row r="151" spans="2:13" x14ac:dyDescent="0.25">
      <c r="I151" s="208"/>
      <c r="J151" s="209" t="s">
        <v>1105</v>
      </c>
      <c r="K151" s="210">
        <f>J150+K150</f>
        <v>496952.99999999994</v>
      </c>
      <c r="L151" s="211"/>
    </row>
    <row r="152" spans="2:13" x14ac:dyDescent="0.25">
      <c r="I152" s="194"/>
      <c r="J152" s="186" t="s">
        <v>1126</v>
      </c>
      <c r="K152" s="184">
        <f>SUM(K151/10000)</f>
        <v>49.695299999999996</v>
      </c>
      <c r="L152" s="185" t="s">
        <v>1107</v>
      </c>
    </row>
    <row r="153" spans="2:13" x14ac:dyDescent="0.25">
      <c r="I153" s="194"/>
      <c r="J153" s="186" t="s">
        <v>1125</v>
      </c>
      <c r="K153" s="184">
        <v>0</v>
      </c>
      <c r="L153" s="185" t="s">
        <v>1107</v>
      </c>
    </row>
    <row r="154" spans="2:13" x14ac:dyDescent="0.25">
      <c r="I154" s="193"/>
      <c r="J154" s="188" t="s">
        <v>1108</v>
      </c>
      <c r="K154" s="184">
        <v>4</v>
      </c>
      <c r="L154" s="185" t="s">
        <v>1109</v>
      </c>
    </row>
    <row r="155" spans="2:13" x14ac:dyDescent="0.25">
      <c r="I155" s="193"/>
      <c r="J155" s="188" t="s">
        <v>1110</v>
      </c>
      <c r="K155" s="184">
        <v>1.8</v>
      </c>
      <c r="L155" s="185" t="s">
        <v>1109</v>
      </c>
    </row>
    <row r="156" spans="2:13" x14ac:dyDescent="0.25">
      <c r="I156" s="192"/>
      <c r="J156" s="188" t="s">
        <v>1111</v>
      </c>
      <c r="K156" s="184">
        <v>300</v>
      </c>
      <c r="L156" s="185" t="s">
        <v>1109</v>
      </c>
    </row>
    <row r="157" spans="2:13" x14ac:dyDescent="0.25">
      <c r="I157" s="192"/>
      <c r="J157" s="189" t="s">
        <v>1115</v>
      </c>
      <c r="K157" s="191">
        <f>K152*K154</f>
        <v>198.78119999999998</v>
      </c>
      <c r="L157" s="187" t="s">
        <v>1112</v>
      </c>
    </row>
    <row r="158" spans="2:13" x14ac:dyDescent="0.25">
      <c r="I158" s="70"/>
      <c r="J158" s="189" t="s">
        <v>1116</v>
      </c>
      <c r="K158" s="191">
        <f>K153*K155</f>
        <v>0</v>
      </c>
      <c r="L158" s="187" t="s">
        <v>1112</v>
      </c>
    </row>
    <row r="159" spans="2:13" x14ac:dyDescent="0.25">
      <c r="I159" s="70"/>
      <c r="J159" s="190" t="s">
        <v>1113</v>
      </c>
      <c r="K159" s="191">
        <f>K152*K156/1000</f>
        <v>14.908589999999998</v>
      </c>
      <c r="L159" s="187" t="s">
        <v>1114</v>
      </c>
    </row>
  </sheetData>
  <mergeCells count="21">
    <mergeCell ref="B111:H111"/>
    <mergeCell ref="I111:M111"/>
    <mergeCell ref="B112:M112"/>
    <mergeCell ref="B113:D113"/>
    <mergeCell ref="E113:I113"/>
    <mergeCell ref="J113:M113"/>
    <mergeCell ref="B110:M110"/>
    <mergeCell ref="B65:M65"/>
    <mergeCell ref="B66:H66"/>
    <mergeCell ref="I66:M66"/>
    <mergeCell ref="B67:M67"/>
    <mergeCell ref="B68:D68"/>
    <mergeCell ref="E68:I68"/>
    <mergeCell ref="J68:M68"/>
    <mergeCell ref="B2:M2"/>
    <mergeCell ref="B3:H3"/>
    <mergeCell ref="I3:M3"/>
    <mergeCell ref="B4:M4"/>
    <mergeCell ref="B5:D5"/>
    <mergeCell ref="E5:I5"/>
    <mergeCell ref="J5:M5"/>
  </mergeCells>
  <printOptions horizontalCentered="1"/>
  <pageMargins left="0.23622047244094491" right="0.23622047244094491" top="0.74803149606299213" bottom="0.74803149606299213" header="0.31496062992125984" footer="0.31496062992125984"/>
  <pageSetup paperSize="9" scale="75" fitToHeight="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B1:N119"/>
  <sheetViews>
    <sheetView topLeftCell="A89" zoomScaleNormal="100" workbookViewId="0">
      <selection activeCell="J109" sqref="J109:K109"/>
    </sheetView>
  </sheetViews>
  <sheetFormatPr defaultRowHeight="15" x14ac:dyDescent="0.25"/>
  <cols>
    <col min="2" max="2" width="12.5703125" customWidth="1"/>
    <col min="3" max="3" width="12.7109375" customWidth="1"/>
    <col min="4" max="4" width="33.140625" customWidth="1"/>
    <col min="5" max="5" width="17.7109375" customWidth="1"/>
    <col min="6" max="8" width="10.7109375" customWidth="1"/>
    <col min="9" max="9" width="24.5703125" customWidth="1"/>
    <col min="10" max="11" width="10.7109375" customWidth="1"/>
    <col min="12" max="12" width="18.7109375" customWidth="1"/>
    <col min="13" max="13" width="27.7109375" customWidth="1"/>
    <col min="14" max="14" width="22.140625" customWidth="1"/>
  </cols>
  <sheetData>
    <row r="1" spans="2:14" ht="15.75" thickBot="1" x14ac:dyDescent="0.3"/>
    <row r="2" spans="2:14" ht="19.5" thickBot="1" x14ac:dyDescent="0.3">
      <c r="B2" s="349" t="s">
        <v>18</v>
      </c>
      <c r="C2" s="350"/>
      <c r="D2" s="350"/>
      <c r="E2" s="350"/>
      <c r="F2" s="350"/>
      <c r="G2" s="350"/>
      <c r="H2" s="350"/>
      <c r="I2" s="350"/>
      <c r="J2" s="350"/>
      <c r="K2" s="350"/>
      <c r="L2" s="350"/>
      <c r="M2" s="351"/>
      <c r="N2" s="230"/>
    </row>
    <row r="3" spans="2:14" x14ac:dyDescent="0.25">
      <c r="B3" s="357" t="s">
        <v>19</v>
      </c>
      <c r="C3" s="355"/>
      <c r="D3" s="355"/>
      <c r="E3" s="355"/>
      <c r="F3" s="355"/>
      <c r="G3" s="355"/>
      <c r="H3" s="355"/>
      <c r="I3" s="355" t="s">
        <v>1003</v>
      </c>
      <c r="J3" s="355"/>
      <c r="K3" s="355"/>
      <c r="L3" s="355"/>
      <c r="M3" s="356"/>
      <c r="N3" s="231"/>
    </row>
    <row r="4" spans="2:14" x14ac:dyDescent="0.25">
      <c r="B4" s="352"/>
      <c r="C4" s="353"/>
      <c r="D4" s="353"/>
      <c r="E4" s="353"/>
      <c r="F4" s="353"/>
      <c r="G4" s="353"/>
      <c r="H4" s="353"/>
      <c r="I4" s="353"/>
      <c r="J4" s="353"/>
      <c r="K4" s="353"/>
      <c r="L4" s="353"/>
      <c r="M4" s="354"/>
      <c r="N4" s="232"/>
    </row>
    <row r="5" spans="2:14" ht="15.75" thickBot="1" x14ac:dyDescent="0.3">
      <c r="B5" s="358" t="s">
        <v>27</v>
      </c>
      <c r="C5" s="359"/>
      <c r="D5" s="359"/>
      <c r="E5" s="359" t="s">
        <v>95</v>
      </c>
      <c r="F5" s="359"/>
      <c r="G5" s="359"/>
      <c r="H5" s="359"/>
      <c r="I5" s="359"/>
      <c r="J5" s="359" t="s">
        <v>1141</v>
      </c>
      <c r="K5" s="359"/>
      <c r="L5" s="359"/>
      <c r="M5" s="360"/>
      <c r="N5" s="233"/>
    </row>
    <row r="6" spans="2:14" ht="30" customHeight="1" thickBot="1" x14ac:dyDescent="0.3">
      <c r="B6" s="18" t="s">
        <v>12</v>
      </c>
      <c r="C6" s="19" t="s">
        <v>13</v>
      </c>
      <c r="D6" s="19" t="s">
        <v>63</v>
      </c>
      <c r="E6" s="19" t="s">
        <v>64</v>
      </c>
      <c r="F6" s="137" t="s">
        <v>998</v>
      </c>
      <c r="G6" s="137" t="s">
        <v>999</v>
      </c>
      <c r="H6" s="19" t="s">
        <v>14</v>
      </c>
      <c r="I6" s="19" t="s">
        <v>15</v>
      </c>
      <c r="J6" s="19" t="s">
        <v>1102</v>
      </c>
      <c r="K6" s="19" t="s">
        <v>1103</v>
      </c>
      <c r="L6" s="19" t="s">
        <v>16</v>
      </c>
      <c r="M6" s="20" t="s">
        <v>17</v>
      </c>
      <c r="N6" s="195" t="s">
        <v>1185</v>
      </c>
    </row>
    <row r="7" spans="2:14" x14ac:dyDescent="0.25">
      <c r="B7" s="9"/>
      <c r="C7" s="9"/>
      <c r="D7" s="34" t="s">
        <v>561</v>
      </c>
      <c r="E7" s="9" t="s">
        <v>559</v>
      </c>
      <c r="F7" s="50">
        <f>2*6.951</f>
        <v>13.901999999999999</v>
      </c>
      <c r="G7" s="50">
        <f>2*6.951</f>
        <v>13.901999999999999</v>
      </c>
      <c r="H7" s="222">
        <v>2</v>
      </c>
      <c r="I7" s="156" t="s">
        <v>1005</v>
      </c>
      <c r="J7" s="163"/>
      <c r="K7" s="133">
        <f>2*6.951</f>
        <v>13.901999999999999</v>
      </c>
      <c r="L7" s="8" t="s">
        <v>957</v>
      </c>
      <c r="M7" s="148" t="s">
        <v>1029</v>
      </c>
      <c r="N7" s="234"/>
    </row>
    <row r="8" spans="2:14" x14ac:dyDescent="0.25">
      <c r="B8" s="9"/>
      <c r="C8" s="9"/>
      <c r="D8" s="57" t="s">
        <v>531</v>
      </c>
      <c r="E8" s="9"/>
      <c r="F8" s="9"/>
      <c r="G8" s="9"/>
      <c r="H8" s="17"/>
      <c r="I8" s="9"/>
      <c r="J8" s="9"/>
      <c r="K8" s="200"/>
      <c r="L8" s="9"/>
      <c r="M8" s="9"/>
      <c r="N8" s="113"/>
    </row>
    <row r="9" spans="2:14" x14ac:dyDescent="0.25">
      <c r="B9" s="8"/>
      <c r="C9" s="8"/>
      <c r="D9" s="13" t="s">
        <v>1140</v>
      </c>
      <c r="E9" s="8" t="s">
        <v>532</v>
      </c>
      <c r="F9" s="89">
        <v>1.0009999999999999</v>
      </c>
      <c r="G9" s="136">
        <v>1.0009999999999999</v>
      </c>
      <c r="H9" s="222">
        <v>2</v>
      </c>
      <c r="I9" s="156" t="s">
        <v>1005</v>
      </c>
      <c r="J9" s="183">
        <v>1.0009999999999999</v>
      </c>
      <c r="K9" s="55"/>
      <c r="L9" s="8" t="s">
        <v>957</v>
      </c>
      <c r="M9" s="8"/>
      <c r="N9" s="113"/>
    </row>
    <row r="10" spans="2:14" x14ac:dyDescent="0.25">
      <c r="B10" s="8"/>
      <c r="C10" s="8"/>
      <c r="D10" s="13" t="s">
        <v>533</v>
      </c>
      <c r="E10" s="8" t="s">
        <v>534</v>
      </c>
      <c r="F10" s="89">
        <v>0.77600000000000002</v>
      </c>
      <c r="G10" s="136">
        <v>0.77600000000000002</v>
      </c>
      <c r="H10" s="222">
        <v>2</v>
      </c>
      <c r="I10" s="156" t="s">
        <v>1005</v>
      </c>
      <c r="J10" s="183">
        <v>0.77600000000000002</v>
      </c>
      <c r="K10" s="55"/>
      <c r="L10" s="8" t="s">
        <v>957</v>
      </c>
      <c r="M10" s="8"/>
      <c r="N10" s="113"/>
    </row>
    <row r="11" spans="2:14" x14ac:dyDescent="0.25">
      <c r="B11" s="8"/>
      <c r="C11" s="8"/>
      <c r="D11" s="13" t="s">
        <v>536</v>
      </c>
      <c r="E11" s="8" t="s">
        <v>535</v>
      </c>
      <c r="F11" s="89">
        <v>0.38700000000000001</v>
      </c>
      <c r="G11" s="136">
        <v>0.38700000000000001</v>
      </c>
      <c r="H11" s="155">
        <v>2</v>
      </c>
      <c r="I11" s="156" t="s">
        <v>1005</v>
      </c>
      <c r="J11" s="183">
        <v>0.38700000000000001</v>
      </c>
      <c r="K11" s="55"/>
      <c r="L11" s="8" t="s">
        <v>957</v>
      </c>
      <c r="M11" s="8"/>
      <c r="N11" s="113"/>
    </row>
    <row r="12" spans="2:14" x14ac:dyDescent="0.25">
      <c r="B12" s="8"/>
      <c r="C12" s="8"/>
      <c r="D12" s="13" t="s">
        <v>538</v>
      </c>
      <c r="E12" s="8" t="s">
        <v>537</v>
      </c>
      <c r="F12" s="89">
        <v>0.33200000000000002</v>
      </c>
      <c r="G12" s="136">
        <v>0.33200000000000002</v>
      </c>
      <c r="H12" s="155">
        <v>2</v>
      </c>
      <c r="I12" s="156" t="s">
        <v>1005</v>
      </c>
      <c r="J12" s="183">
        <v>0.33200000000000002</v>
      </c>
      <c r="K12" s="55"/>
      <c r="L12" s="8" t="s">
        <v>957</v>
      </c>
      <c r="M12" s="8"/>
      <c r="N12" s="113"/>
    </row>
    <row r="13" spans="2:14" x14ac:dyDescent="0.25">
      <c r="B13" s="8"/>
      <c r="C13" s="8"/>
      <c r="D13" s="13" t="s">
        <v>39</v>
      </c>
      <c r="E13" s="8" t="s">
        <v>539</v>
      </c>
      <c r="F13" s="51">
        <v>0.11</v>
      </c>
      <c r="G13" s="51">
        <v>0.11</v>
      </c>
      <c r="H13" s="155">
        <v>2</v>
      </c>
      <c r="I13" s="156" t="s">
        <v>1005</v>
      </c>
      <c r="J13" s="51">
        <v>0.11</v>
      </c>
      <c r="K13" s="55"/>
      <c r="L13" s="8" t="s">
        <v>957</v>
      </c>
      <c r="M13" s="8"/>
      <c r="N13" s="113"/>
    </row>
    <row r="14" spans="2:14" x14ac:dyDescent="0.25">
      <c r="B14" s="8"/>
      <c r="C14" s="8"/>
      <c r="D14" s="13" t="s">
        <v>40</v>
      </c>
      <c r="E14" s="8" t="s">
        <v>540</v>
      </c>
      <c r="F14" s="89">
        <v>5.7000000000000002E-2</v>
      </c>
      <c r="G14" s="136">
        <v>5.7000000000000002E-2</v>
      </c>
      <c r="H14" s="155">
        <v>2</v>
      </c>
      <c r="I14" s="156" t="s">
        <v>1005</v>
      </c>
      <c r="J14" s="183">
        <v>5.7000000000000002E-2</v>
      </c>
      <c r="K14" s="55"/>
      <c r="L14" s="8" t="s">
        <v>957</v>
      </c>
      <c r="M14" s="8"/>
      <c r="N14" s="113"/>
    </row>
    <row r="15" spans="2:14" x14ac:dyDescent="0.25">
      <c r="B15" s="8"/>
      <c r="C15" s="8"/>
      <c r="D15" s="13" t="s">
        <v>1119</v>
      </c>
      <c r="E15" s="8" t="s">
        <v>541</v>
      </c>
      <c r="F15" s="89">
        <v>1.0980000000000001</v>
      </c>
      <c r="G15" s="136">
        <v>1.0980000000000001</v>
      </c>
      <c r="H15" s="155">
        <v>2</v>
      </c>
      <c r="I15" s="156" t="s">
        <v>1005</v>
      </c>
      <c r="J15" s="183">
        <v>1.0980000000000001</v>
      </c>
      <c r="K15" s="55"/>
      <c r="L15" s="8" t="s">
        <v>957</v>
      </c>
      <c r="M15" s="8"/>
      <c r="N15" s="113"/>
    </row>
    <row r="16" spans="2:14" x14ac:dyDescent="0.25">
      <c r="B16" s="8"/>
      <c r="C16" s="8"/>
      <c r="D16" s="13" t="s">
        <v>542</v>
      </c>
      <c r="E16" s="8" t="s">
        <v>543</v>
      </c>
      <c r="F16" s="89">
        <v>1.2010000000000001</v>
      </c>
      <c r="G16" s="136">
        <v>1.2010000000000001</v>
      </c>
      <c r="H16" s="155">
        <v>2</v>
      </c>
      <c r="I16" s="156" t="s">
        <v>1005</v>
      </c>
      <c r="J16" s="183">
        <v>1.2010000000000001</v>
      </c>
      <c r="K16" s="55"/>
      <c r="L16" s="8" t="s">
        <v>957</v>
      </c>
      <c r="M16" s="8"/>
      <c r="N16" s="113"/>
    </row>
    <row r="17" spans="2:14" x14ac:dyDescent="0.25">
      <c r="B17" s="8"/>
      <c r="C17" s="8"/>
      <c r="D17" s="13" t="s">
        <v>36</v>
      </c>
      <c r="E17" s="8" t="s">
        <v>544</v>
      </c>
      <c r="F17" s="89">
        <v>0.82499999999999996</v>
      </c>
      <c r="G17" s="136">
        <v>0.82499999999999996</v>
      </c>
      <c r="H17" s="155">
        <v>2</v>
      </c>
      <c r="I17" s="156" t="s">
        <v>1005</v>
      </c>
      <c r="J17" s="183">
        <v>0.82499999999999996</v>
      </c>
      <c r="K17" s="55"/>
      <c r="L17" s="8" t="s">
        <v>957</v>
      </c>
      <c r="M17" s="8"/>
      <c r="N17" s="113"/>
    </row>
    <row r="18" spans="2:14" x14ac:dyDescent="0.25">
      <c r="B18" s="8"/>
      <c r="C18" s="8"/>
      <c r="D18" s="13" t="s">
        <v>38</v>
      </c>
      <c r="E18" s="8" t="s">
        <v>545</v>
      </c>
      <c r="F18" s="89">
        <v>0.74399999999999999</v>
      </c>
      <c r="G18" s="136">
        <v>0.74399999999999999</v>
      </c>
      <c r="H18" s="155">
        <v>2</v>
      </c>
      <c r="I18" s="156" t="s">
        <v>1005</v>
      </c>
      <c r="J18" s="183">
        <v>0.74399999999999999</v>
      </c>
      <c r="K18" s="55"/>
      <c r="L18" s="8" t="s">
        <v>957</v>
      </c>
      <c r="M18" s="8"/>
      <c r="N18" s="113"/>
    </row>
    <row r="19" spans="2:14" x14ac:dyDescent="0.25">
      <c r="B19" s="8"/>
      <c r="C19" s="8"/>
      <c r="D19" s="13" t="s">
        <v>163</v>
      </c>
      <c r="E19" s="8" t="s">
        <v>546</v>
      </c>
      <c r="F19" s="89">
        <v>0.64500000000000002</v>
      </c>
      <c r="G19" s="136">
        <v>0.64500000000000002</v>
      </c>
      <c r="H19" s="155">
        <v>2</v>
      </c>
      <c r="I19" s="156" t="s">
        <v>1005</v>
      </c>
      <c r="J19" s="183">
        <v>0.64500000000000002</v>
      </c>
      <c r="K19" s="55"/>
      <c r="L19" s="8" t="s">
        <v>957</v>
      </c>
      <c r="M19" s="8"/>
      <c r="N19" s="113"/>
    </row>
    <row r="20" spans="2:14" x14ac:dyDescent="0.25">
      <c r="B20" s="8"/>
      <c r="C20" s="8"/>
      <c r="D20" s="13" t="s">
        <v>380</v>
      </c>
      <c r="E20" s="8" t="s">
        <v>556</v>
      </c>
      <c r="F20" s="89">
        <v>0.97199999999999998</v>
      </c>
      <c r="G20" s="136">
        <v>0.97199999999999998</v>
      </c>
      <c r="H20" s="155">
        <v>2</v>
      </c>
      <c r="I20" s="156" t="s">
        <v>1005</v>
      </c>
      <c r="J20" s="183">
        <v>0.97199999999999998</v>
      </c>
      <c r="K20" s="55"/>
      <c r="L20" s="8" t="s">
        <v>957</v>
      </c>
      <c r="M20" s="8"/>
      <c r="N20" s="113"/>
    </row>
    <row r="21" spans="2:14" x14ac:dyDescent="0.25">
      <c r="B21" s="8"/>
      <c r="C21" s="8"/>
      <c r="D21" s="13" t="s">
        <v>557</v>
      </c>
      <c r="E21" s="8" t="s">
        <v>558</v>
      </c>
      <c r="F21" s="89">
        <v>0.96100000000000008</v>
      </c>
      <c r="G21" s="136">
        <v>0.96100000000000008</v>
      </c>
      <c r="H21" s="155">
        <v>2</v>
      </c>
      <c r="I21" s="156" t="s">
        <v>1005</v>
      </c>
      <c r="J21" s="183">
        <v>0.96100000000000008</v>
      </c>
      <c r="K21" s="55"/>
      <c r="L21" s="8" t="s">
        <v>957</v>
      </c>
      <c r="M21" s="8"/>
      <c r="N21" s="113"/>
    </row>
    <row r="22" spans="2:14" x14ac:dyDescent="0.25">
      <c r="B22" s="8"/>
      <c r="C22" s="8"/>
      <c r="D22" s="13" t="s">
        <v>547</v>
      </c>
      <c r="E22" s="8" t="s">
        <v>548</v>
      </c>
      <c r="F22" s="89">
        <v>0.29099999999999998</v>
      </c>
      <c r="G22" s="136">
        <v>0.29099999999999998</v>
      </c>
      <c r="H22" s="155">
        <v>2</v>
      </c>
      <c r="I22" s="156" t="s">
        <v>1005</v>
      </c>
      <c r="J22" s="183">
        <v>0.29099999999999998</v>
      </c>
      <c r="K22" s="55"/>
      <c r="L22" s="8" t="s">
        <v>957</v>
      </c>
      <c r="M22" s="8"/>
      <c r="N22" s="113"/>
    </row>
    <row r="23" spans="2:14" x14ac:dyDescent="0.25">
      <c r="B23" s="8"/>
      <c r="C23" s="8"/>
      <c r="D23" s="13" t="s">
        <v>552</v>
      </c>
      <c r="E23" s="8" t="s">
        <v>551</v>
      </c>
      <c r="F23" s="51">
        <v>0.57799999999999996</v>
      </c>
      <c r="G23" s="51">
        <v>0.57799999999999996</v>
      </c>
      <c r="H23" s="155">
        <v>2</v>
      </c>
      <c r="I23" s="156" t="s">
        <v>1005</v>
      </c>
      <c r="J23" s="51">
        <v>0.57799999999999996</v>
      </c>
      <c r="K23" s="55"/>
      <c r="L23" s="8" t="s">
        <v>957</v>
      </c>
      <c r="M23" s="8"/>
      <c r="N23" s="113"/>
    </row>
    <row r="24" spans="2:14" x14ac:dyDescent="0.25">
      <c r="B24" s="8"/>
      <c r="C24" s="8"/>
      <c r="D24" s="13" t="s">
        <v>550</v>
      </c>
      <c r="E24" s="8" t="s">
        <v>549</v>
      </c>
      <c r="F24" s="89">
        <v>0.51200000000000001</v>
      </c>
      <c r="G24" s="136">
        <v>0.51200000000000001</v>
      </c>
      <c r="H24" s="155">
        <v>2</v>
      </c>
      <c r="I24" s="156" t="s">
        <v>1005</v>
      </c>
      <c r="J24" s="183">
        <v>0.51200000000000001</v>
      </c>
      <c r="K24" s="55"/>
      <c r="L24" s="8" t="s">
        <v>957</v>
      </c>
      <c r="M24" s="8"/>
      <c r="N24" s="113"/>
    </row>
    <row r="25" spans="2:14" x14ac:dyDescent="0.25">
      <c r="B25" s="8"/>
      <c r="C25" s="8"/>
      <c r="D25" s="13" t="s">
        <v>309</v>
      </c>
      <c r="E25" s="8" t="s">
        <v>553</v>
      </c>
      <c r="F25" s="89">
        <v>0.25700000000000001</v>
      </c>
      <c r="G25" s="136">
        <v>0.25700000000000001</v>
      </c>
      <c r="H25" s="155">
        <v>2</v>
      </c>
      <c r="I25" s="156" t="s">
        <v>1005</v>
      </c>
      <c r="J25" s="183">
        <v>0.25700000000000001</v>
      </c>
      <c r="K25" s="55"/>
      <c r="L25" s="8" t="s">
        <v>957</v>
      </c>
      <c r="M25" s="8"/>
      <c r="N25" s="113"/>
    </row>
    <row r="26" spans="2:14" x14ac:dyDescent="0.25">
      <c r="B26" s="8"/>
      <c r="C26" s="8"/>
      <c r="D26" s="13" t="s">
        <v>554</v>
      </c>
      <c r="E26" s="8" t="s">
        <v>555</v>
      </c>
      <c r="F26" s="89">
        <v>0.67400000000000004</v>
      </c>
      <c r="G26" s="136">
        <v>0.67400000000000004</v>
      </c>
      <c r="H26" s="155">
        <v>2</v>
      </c>
      <c r="I26" s="156" t="s">
        <v>1005</v>
      </c>
      <c r="J26" s="183">
        <v>0.67400000000000004</v>
      </c>
      <c r="K26" s="55"/>
      <c r="L26" s="8" t="s">
        <v>957</v>
      </c>
      <c r="M26" s="8"/>
      <c r="N26" s="113"/>
    </row>
    <row r="27" spans="2:14" x14ac:dyDescent="0.25">
      <c r="B27" s="8"/>
      <c r="C27" s="8"/>
      <c r="D27" s="13" t="s">
        <v>148</v>
      </c>
      <c r="E27" s="8"/>
      <c r="F27" s="87">
        <v>4.0460000000000003</v>
      </c>
      <c r="G27" s="136">
        <v>4.0460000000000003</v>
      </c>
      <c r="H27" s="155">
        <v>2</v>
      </c>
      <c r="I27" s="156" t="s">
        <v>1005</v>
      </c>
      <c r="J27" s="183">
        <v>4.0460000000000003</v>
      </c>
      <c r="K27" s="55"/>
      <c r="L27" s="8" t="s">
        <v>957</v>
      </c>
      <c r="M27" s="8"/>
      <c r="N27" s="113"/>
    </row>
    <row r="28" spans="2:14" x14ac:dyDescent="0.25">
      <c r="B28" s="8"/>
      <c r="C28" s="8"/>
      <c r="D28" s="13"/>
      <c r="E28" s="87" t="s">
        <v>89</v>
      </c>
      <c r="F28" s="43">
        <f>SUM(F9:F27)</f>
        <v>15.466999999999999</v>
      </c>
      <c r="G28" s="43">
        <f>SUM(G9:G27)</f>
        <v>15.466999999999999</v>
      </c>
      <c r="H28" s="155"/>
      <c r="I28" s="8"/>
      <c r="J28" s="8"/>
      <c r="K28" s="123"/>
      <c r="L28" s="8"/>
      <c r="M28" s="8"/>
      <c r="N28" s="113"/>
    </row>
    <row r="29" spans="2:14" x14ac:dyDescent="0.25">
      <c r="B29" s="8"/>
      <c r="C29" s="8"/>
      <c r="D29" s="34" t="s">
        <v>560</v>
      </c>
      <c r="E29" s="8" t="s">
        <v>562</v>
      </c>
      <c r="F29" s="53">
        <f>2*7.89</f>
        <v>15.78</v>
      </c>
      <c r="G29" s="53">
        <f>2*7.89</f>
        <v>15.78</v>
      </c>
      <c r="H29" s="155" t="s">
        <v>1004</v>
      </c>
      <c r="I29" s="156" t="s">
        <v>1006</v>
      </c>
      <c r="J29" s="163"/>
      <c r="K29" s="83">
        <f>2*7.89</f>
        <v>15.78</v>
      </c>
      <c r="L29" s="8" t="s">
        <v>958</v>
      </c>
      <c r="M29" s="122" t="s">
        <v>1050</v>
      </c>
      <c r="N29" s="113"/>
    </row>
    <row r="30" spans="2:14" x14ac:dyDescent="0.25">
      <c r="B30" s="8"/>
      <c r="C30" s="8"/>
      <c r="D30" s="57" t="s">
        <v>563</v>
      </c>
      <c r="E30" s="8"/>
      <c r="F30" s="8"/>
      <c r="G30" s="8"/>
      <c r="H30" s="155"/>
      <c r="I30" s="8"/>
      <c r="J30" s="8"/>
      <c r="K30" s="123"/>
      <c r="L30" s="8"/>
      <c r="M30" s="8"/>
      <c r="N30" s="113"/>
    </row>
    <row r="31" spans="2:14" x14ac:dyDescent="0.25">
      <c r="B31" s="8"/>
      <c r="C31" s="8"/>
      <c r="D31" s="13" t="s">
        <v>1138</v>
      </c>
      <c r="E31" s="8" t="s">
        <v>564</v>
      </c>
      <c r="F31" s="90">
        <v>0.63100000000000001</v>
      </c>
      <c r="G31" s="136">
        <v>0.63100000000000001</v>
      </c>
      <c r="H31" s="155" t="s">
        <v>1004</v>
      </c>
      <c r="I31" s="156" t="s">
        <v>1006</v>
      </c>
      <c r="J31" s="183">
        <v>0.63100000000000001</v>
      </c>
      <c r="K31" s="55"/>
      <c r="L31" s="8" t="s">
        <v>958</v>
      </c>
      <c r="M31" s="8"/>
      <c r="N31" s="113"/>
    </row>
    <row r="32" spans="2:14" x14ac:dyDescent="0.25">
      <c r="B32" s="8"/>
      <c r="C32" s="8"/>
      <c r="D32" s="13" t="s">
        <v>33</v>
      </c>
      <c r="E32" s="8" t="s">
        <v>565</v>
      </c>
      <c r="F32" s="90">
        <v>0.58199999999999996</v>
      </c>
      <c r="G32" s="136">
        <v>0.58199999999999996</v>
      </c>
      <c r="H32" s="155" t="s">
        <v>1004</v>
      </c>
      <c r="I32" s="156" t="s">
        <v>1006</v>
      </c>
      <c r="J32" s="183">
        <v>0.58199999999999996</v>
      </c>
      <c r="K32" s="55"/>
      <c r="L32" s="8" t="s">
        <v>958</v>
      </c>
      <c r="M32" s="8"/>
      <c r="N32" s="113"/>
    </row>
    <row r="33" spans="2:14" x14ac:dyDescent="0.25">
      <c r="B33" s="8"/>
      <c r="C33" s="8"/>
      <c r="D33" s="13" t="s">
        <v>225</v>
      </c>
      <c r="E33" s="8" t="s">
        <v>566</v>
      </c>
      <c r="F33" s="91">
        <v>7.9000000000000001E-2</v>
      </c>
      <c r="G33" s="136">
        <v>7.9000000000000001E-2</v>
      </c>
      <c r="H33" s="155" t="s">
        <v>1004</v>
      </c>
      <c r="I33" s="156" t="s">
        <v>1006</v>
      </c>
      <c r="J33" s="183">
        <v>7.9000000000000001E-2</v>
      </c>
      <c r="K33" s="55"/>
      <c r="L33" s="8" t="s">
        <v>958</v>
      </c>
      <c r="M33" s="8"/>
      <c r="N33" s="113"/>
    </row>
    <row r="34" spans="2:14" x14ac:dyDescent="0.25">
      <c r="B34" s="8"/>
      <c r="C34" s="8"/>
      <c r="D34" s="13" t="s">
        <v>1139</v>
      </c>
      <c r="E34" s="8" t="s">
        <v>564</v>
      </c>
      <c r="F34" s="90">
        <v>0.66500000000000004</v>
      </c>
      <c r="G34" s="136">
        <v>0.66500000000000004</v>
      </c>
      <c r="H34" s="155" t="s">
        <v>1004</v>
      </c>
      <c r="I34" s="156" t="s">
        <v>1006</v>
      </c>
      <c r="J34" s="183">
        <v>0.66500000000000004</v>
      </c>
      <c r="K34" s="55"/>
      <c r="L34" s="8" t="s">
        <v>958</v>
      </c>
      <c r="M34" s="8"/>
      <c r="N34" s="113"/>
    </row>
    <row r="35" spans="2:14" x14ac:dyDescent="0.25">
      <c r="B35" s="8"/>
      <c r="C35" s="8"/>
      <c r="D35" s="13" t="s">
        <v>148</v>
      </c>
      <c r="E35" s="8"/>
      <c r="F35" s="91">
        <v>0.60499999999999998</v>
      </c>
      <c r="G35" s="136">
        <v>0.60499999999999998</v>
      </c>
      <c r="H35" s="155" t="s">
        <v>1004</v>
      </c>
      <c r="I35" s="156" t="s">
        <v>1006</v>
      </c>
      <c r="J35" s="183">
        <v>0.60499999999999998</v>
      </c>
      <c r="K35" s="55"/>
      <c r="L35" s="8" t="s">
        <v>958</v>
      </c>
      <c r="M35" s="8"/>
      <c r="N35" s="113"/>
    </row>
    <row r="36" spans="2:14" x14ac:dyDescent="0.25">
      <c r="B36" s="8"/>
      <c r="C36" s="8"/>
      <c r="D36" s="8"/>
      <c r="E36" s="91" t="s">
        <v>89</v>
      </c>
      <c r="F36" s="43">
        <f>SUM(F31:F35)</f>
        <v>2.5620000000000003</v>
      </c>
      <c r="G36" s="43">
        <f>SUM(G31:G35)</f>
        <v>2.5620000000000003</v>
      </c>
      <c r="H36" s="155"/>
      <c r="I36" s="8"/>
      <c r="J36" s="8"/>
      <c r="K36" s="123"/>
      <c r="L36" s="8"/>
      <c r="M36" s="8"/>
      <c r="N36" s="113"/>
    </row>
    <row r="37" spans="2:14" x14ac:dyDescent="0.25">
      <c r="B37" s="8"/>
      <c r="C37" s="8"/>
      <c r="D37" s="34" t="s">
        <v>567</v>
      </c>
      <c r="E37" s="8" t="s">
        <v>568</v>
      </c>
      <c r="F37" s="43">
        <f>2*9.347</f>
        <v>18.693999999999999</v>
      </c>
      <c r="G37" s="43">
        <f>2*9.347</f>
        <v>18.693999999999999</v>
      </c>
      <c r="H37" s="155" t="s">
        <v>1004</v>
      </c>
      <c r="I37" s="156" t="s">
        <v>1006</v>
      </c>
      <c r="J37" s="163"/>
      <c r="K37" s="46">
        <f>2*9.347</f>
        <v>18.693999999999999</v>
      </c>
      <c r="L37" s="8" t="s">
        <v>958</v>
      </c>
      <c r="M37" s="122" t="s">
        <v>1078</v>
      </c>
      <c r="N37" s="113"/>
    </row>
    <row r="38" spans="2:14" x14ac:dyDescent="0.25">
      <c r="B38" s="9"/>
      <c r="C38" s="9"/>
      <c r="D38" s="57" t="s">
        <v>569</v>
      </c>
      <c r="E38" s="9"/>
      <c r="F38" s="9"/>
      <c r="G38" s="9"/>
      <c r="H38" s="17"/>
      <c r="I38" s="9"/>
      <c r="J38" s="9"/>
      <c r="K38" s="200"/>
      <c r="L38" s="9"/>
      <c r="M38" s="9"/>
      <c r="N38" s="113"/>
    </row>
    <row r="39" spans="2:14" x14ac:dyDescent="0.25">
      <c r="B39" s="8"/>
      <c r="C39" s="8"/>
      <c r="D39" s="13" t="s">
        <v>1137</v>
      </c>
      <c r="E39" s="8" t="s">
        <v>570</v>
      </c>
      <c r="F39" s="91">
        <v>0.66700000000000004</v>
      </c>
      <c r="G39" s="136">
        <v>0.66700000000000004</v>
      </c>
      <c r="H39" s="155" t="s">
        <v>1004</v>
      </c>
      <c r="I39" s="156" t="s">
        <v>1006</v>
      </c>
      <c r="J39" s="183">
        <v>0.66700000000000004</v>
      </c>
      <c r="K39" s="55"/>
      <c r="L39" s="8" t="s">
        <v>958</v>
      </c>
      <c r="M39" s="8"/>
      <c r="N39" s="113"/>
    </row>
    <row r="40" spans="2:14" x14ac:dyDescent="0.25">
      <c r="B40" s="8"/>
      <c r="C40" s="8"/>
      <c r="D40" s="13" t="s">
        <v>33</v>
      </c>
      <c r="E40" s="8" t="s">
        <v>571</v>
      </c>
      <c r="F40" s="91">
        <v>0.54500000000000004</v>
      </c>
      <c r="G40" s="136">
        <v>0.54500000000000004</v>
      </c>
      <c r="H40" s="155" t="s">
        <v>1004</v>
      </c>
      <c r="I40" s="156" t="s">
        <v>1006</v>
      </c>
      <c r="J40" s="183">
        <v>0.54500000000000004</v>
      </c>
      <c r="K40" s="55"/>
      <c r="L40" s="8" t="s">
        <v>958</v>
      </c>
      <c r="M40" s="8"/>
      <c r="N40" s="113"/>
    </row>
    <row r="41" spans="2:14" x14ac:dyDescent="0.25">
      <c r="B41" s="8"/>
      <c r="C41" s="8"/>
      <c r="D41" s="13" t="s">
        <v>37</v>
      </c>
      <c r="E41" s="8" t="s">
        <v>572</v>
      </c>
      <c r="F41" s="91">
        <v>0.38200000000000001</v>
      </c>
      <c r="G41" s="136">
        <v>0.38200000000000001</v>
      </c>
      <c r="H41" s="155" t="s">
        <v>1004</v>
      </c>
      <c r="I41" s="156" t="s">
        <v>1006</v>
      </c>
      <c r="J41" s="183">
        <v>0.38200000000000001</v>
      </c>
      <c r="K41" s="55"/>
      <c r="L41" s="8" t="s">
        <v>958</v>
      </c>
      <c r="M41" s="8"/>
      <c r="N41" s="113"/>
    </row>
    <row r="42" spans="2:14" x14ac:dyDescent="0.25">
      <c r="B42" s="8"/>
      <c r="C42" s="8"/>
      <c r="D42" s="13" t="s">
        <v>1119</v>
      </c>
      <c r="E42" s="8" t="s">
        <v>573</v>
      </c>
      <c r="F42" s="91">
        <v>0.66700000000000004</v>
      </c>
      <c r="G42" s="136">
        <v>0.66700000000000004</v>
      </c>
      <c r="H42" s="155" t="s">
        <v>1004</v>
      </c>
      <c r="I42" s="156" t="s">
        <v>1006</v>
      </c>
      <c r="J42" s="183">
        <v>0.66700000000000004</v>
      </c>
      <c r="K42" s="55"/>
      <c r="L42" s="8" t="s">
        <v>958</v>
      </c>
      <c r="M42" s="8"/>
      <c r="N42" s="113"/>
    </row>
    <row r="43" spans="2:14" x14ac:dyDescent="0.25">
      <c r="B43" s="8"/>
      <c r="C43" s="8"/>
      <c r="D43" s="13" t="s">
        <v>542</v>
      </c>
      <c r="E43" s="8" t="s">
        <v>574</v>
      </c>
      <c r="F43" s="91">
        <v>0.70599999999999996</v>
      </c>
      <c r="G43" s="136">
        <v>0.70599999999999996</v>
      </c>
      <c r="H43" s="155" t="s">
        <v>1004</v>
      </c>
      <c r="I43" s="156" t="s">
        <v>1006</v>
      </c>
      <c r="J43" s="183">
        <v>0.70599999999999996</v>
      </c>
      <c r="K43" s="55"/>
      <c r="L43" s="8" t="s">
        <v>958</v>
      </c>
      <c r="M43" s="8"/>
      <c r="N43" s="113"/>
    </row>
    <row r="44" spans="2:14" x14ac:dyDescent="0.25">
      <c r="B44" s="8"/>
      <c r="C44" s="8"/>
      <c r="D44" s="13" t="s">
        <v>148</v>
      </c>
      <c r="E44" s="8"/>
      <c r="F44" s="91">
        <v>0.75600000000000001</v>
      </c>
      <c r="G44" s="136">
        <v>0.75600000000000001</v>
      </c>
      <c r="H44" s="155" t="s">
        <v>1004</v>
      </c>
      <c r="I44" s="156" t="s">
        <v>1006</v>
      </c>
      <c r="J44" s="183">
        <v>0.75600000000000001</v>
      </c>
      <c r="K44" s="55"/>
      <c r="L44" s="8" t="s">
        <v>958</v>
      </c>
      <c r="M44" s="8"/>
      <c r="N44" s="113"/>
    </row>
    <row r="45" spans="2:14" x14ac:dyDescent="0.25">
      <c r="B45" s="8"/>
      <c r="C45" s="8"/>
      <c r="D45" s="8"/>
      <c r="E45" s="91" t="s">
        <v>89</v>
      </c>
      <c r="F45" s="43">
        <f>SUM(F39:F44)</f>
        <v>3.7229999999999999</v>
      </c>
      <c r="G45" s="43">
        <f>SUM(G39:G44)</f>
        <v>3.7229999999999999</v>
      </c>
      <c r="H45" s="155"/>
      <c r="I45" s="8"/>
      <c r="J45" s="8"/>
      <c r="K45" s="123"/>
      <c r="L45" s="8"/>
      <c r="M45" s="8"/>
      <c r="N45" s="113"/>
    </row>
    <row r="46" spans="2:14" x14ac:dyDescent="0.25">
      <c r="B46" s="8"/>
      <c r="C46" s="8"/>
      <c r="D46" s="34" t="s">
        <v>575</v>
      </c>
      <c r="E46" s="8" t="s">
        <v>1091</v>
      </c>
      <c r="F46" s="43">
        <f>2*5.312</f>
        <v>10.624000000000001</v>
      </c>
      <c r="G46" s="43">
        <f>2*5.312</f>
        <v>10.624000000000001</v>
      </c>
      <c r="H46" s="155">
        <v>2</v>
      </c>
      <c r="I46" s="156" t="s">
        <v>1005</v>
      </c>
      <c r="J46" s="163"/>
      <c r="K46" s="46">
        <f>2*5.312</f>
        <v>10.624000000000001</v>
      </c>
      <c r="L46" s="8" t="s">
        <v>957</v>
      </c>
      <c r="M46" s="122" t="s">
        <v>1079</v>
      </c>
      <c r="N46" s="113"/>
    </row>
    <row r="47" spans="2:14" x14ac:dyDescent="0.25">
      <c r="B47" s="9"/>
      <c r="C47" s="9"/>
      <c r="D47" s="34" t="s">
        <v>637</v>
      </c>
      <c r="E47" s="9" t="s">
        <v>638</v>
      </c>
      <c r="F47" s="50">
        <v>1.379</v>
      </c>
      <c r="G47" s="50">
        <v>1.379</v>
      </c>
      <c r="H47" s="155">
        <v>2</v>
      </c>
      <c r="I47" s="156" t="s">
        <v>1005</v>
      </c>
      <c r="J47" s="163"/>
      <c r="K47" s="133">
        <v>1.379</v>
      </c>
      <c r="L47" s="8" t="s">
        <v>957</v>
      </c>
      <c r="M47" s="9"/>
      <c r="N47" s="113"/>
    </row>
    <row r="48" spans="2:14" x14ac:dyDescent="0.25">
      <c r="B48" s="9"/>
      <c r="C48" s="9"/>
      <c r="D48" s="54" t="s">
        <v>997</v>
      </c>
      <c r="E48" s="9"/>
      <c r="F48" s="133"/>
      <c r="G48" s="133"/>
      <c r="H48" s="17"/>
      <c r="I48" s="9"/>
      <c r="J48" s="9"/>
      <c r="K48" s="200"/>
      <c r="L48" s="9"/>
      <c r="M48" s="9"/>
      <c r="N48" s="113"/>
    </row>
    <row r="49" spans="2:14" x14ac:dyDescent="0.25">
      <c r="B49" s="8"/>
      <c r="C49" s="8"/>
      <c r="D49" s="34" t="s">
        <v>639</v>
      </c>
      <c r="E49" s="8" t="s">
        <v>640</v>
      </c>
      <c r="F49" s="52">
        <v>0</v>
      </c>
      <c r="G49" s="52">
        <v>0</v>
      </c>
      <c r="H49" s="155" t="s">
        <v>1004</v>
      </c>
      <c r="I49" s="156" t="s">
        <v>1006</v>
      </c>
      <c r="J49" s="163"/>
      <c r="K49" s="55">
        <v>0</v>
      </c>
      <c r="L49" s="8" t="s">
        <v>958</v>
      </c>
      <c r="M49" s="8"/>
      <c r="N49" s="113"/>
    </row>
    <row r="50" spans="2:14" x14ac:dyDescent="0.25">
      <c r="B50" s="8"/>
      <c r="C50" s="8"/>
      <c r="D50" s="34" t="s">
        <v>641</v>
      </c>
      <c r="E50" s="8" t="s">
        <v>642</v>
      </c>
      <c r="F50" s="52">
        <v>0.98099999999999998</v>
      </c>
      <c r="G50" s="52">
        <v>0.98099999999999998</v>
      </c>
      <c r="H50" s="155" t="s">
        <v>1004</v>
      </c>
      <c r="I50" s="156" t="s">
        <v>1006</v>
      </c>
      <c r="J50" s="163"/>
      <c r="K50" s="55">
        <v>0.98099999999999998</v>
      </c>
      <c r="L50" s="8" t="s">
        <v>958</v>
      </c>
      <c r="M50" s="8"/>
      <c r="N50" s="9"/>
    </row>
    <row r="51" spans="2:14" x14ac:dyDescent="0.25">
      <c r="N51" s="237"/>
    </row>
    <row r="52" spans="2:14" x14ac:dyDescent="0.25">
      <c r="B52" s="129" t="s">
        <v>30</v>
      </c>
      <c r="C52" s="129"/>
      <c r="D52" s="129"/>
      <c r="E52" s="129"/>
      <c r="F52" s="129"/>
      <c r="G52" s="129"/>
      <c r="H52" s="129"/>
      <c r="I52" s="129"/>
      <c r="J52" s="129"/>
      <c r="K52" s="129"/>
      <c r="L52" s="129"/>
      <c r="M52" s="129"/>
    </row>
    <row r="53" spans="2:14" ht="15.75" thickBot="1" x14ac:dyDescent="0.3">
      <c r="B53" s="111"/>
      <c r="C53" s="111"/>
      <c r="D53" s="111"/>
      <c r="E53" s="111"/>
      <c r="F53" s="111"/>
      <c r="G53" s="129"/>
      <c r="H53" s="111"/>
      <c r="I53" s="111"/>
      <c r="J53" s="111"/>
      <c r="K53" s="129"/>
      <c r="L53" s="111"/>
      <c r="M53" s="111"/>
    </row>
    <row r="54" spans="2:14" ht="19.5" thickBot="1" x14ac:dyDescent="0.3">
      <c r="B54" s="349" t="s">
        <v>18</v>
      </c>
      <c r="C54" s="350"/>
      <c r="D54" s="350"/>
      <c r="E54" s="350"/>
      <c r="F54" s="350"/>
      <c r="G54" s="350"/>
      <c r="H54" s="350"/>
      <c r="I54" s="350"/>
      <c r="J54" s="350"/>
      <c r="K54" s="350"/>
      <c r="L54" s="350"/>
      <c r="M54" s="351"/>
    </row>
    <row r="55" spans="2:14" x14ac:dyDescent="0.25">
      <c r="B55" s="357" t="s">
        <v>19</v>
      </c>
      <c r="C55" s="355"/>
      <c r="D55" s="355"/>
      <c r="E55" s="355"/>
      <c r="F55" s="355"/>
      <c r="G55" s="355"/>
      <c r="H55" s="355"/>
      <c r="I55" s="355" t="s">
        <v>1003</v>
      </c>
      <c r="J55" s="355"/>
      <c r="K55" s="355"/>
      <c r="L55" s="355"/>
      <c r="M55" s="356"/>
    </row>
    <row r="56" spans="2:14" x14ac:dyDescent="0.25">
      <c r="B56" s="352"/>
      <c r="C56" s="353"/>
      <c r="D56" s="353"/>
      <c r="E56" s="353"/>
      <c r="F56" s="353"/>
      <c r="G56" s="353"/>
      <c r="H56" s="353"/>
      <c r="I56" s="353"/>
      <c r="J56" s="353"/>
      <c r="K56" s="353"/>
      <c r="L56" s="353"/>
      <c r="M56" s="354"/>
    </row>
    <row r="57" spans="2:14" ht="15.75" thickBot="1" x14ac:dyDescent="0.3">
      <c r="B57" s="358" t="s">
        <v>27</v>
      </c>
      <c r="C57" s="359"/>
      <c r="D57" s="359"/>
      <c r="E57" s="359" t="s">
        <v>95</v>
      </c>
      <c r="F57" s="359"/>
      <c r="G57" s="359"/>
      <c r="H57" s="359"/>
      <c r="I57" s="359"/>
      <c r="J57" s="359" t="s">
        <v>1141</v>
      </c>
      <c r="K57" s="359"/>
      <c r="L57" s="359"/>
      <c r="M57" s="360"/>
    </row>
    <row r="58" spans="2:14" ht="30" customHeight="1" thickBot="1" x14ac:dyDescent="0.3">
      <c r="B58" s="18" t="s">
        <v>12</v>
      </c>
      <c r="C58" s="19" t="s">
        <v>13</v>
      </c>
      <c r="D58" s="19" t="s">
        <v>63</v>
      </c>
      <c r="E58" s="19" t="s">
        <v>64</v>
      </c>
      <c r="F58" s="137" t="s">
        <v>998</v>
      </c>
      <c r="G58" s="137" t="s">
        <v>999</v>
      </c>
      <c r="H58" s="19" t="s">
        <v>14</v>
      </c>
      <c r="I58" s="19" t="s">
        <v>15</v>
      </c>
      <c r="J58" s="19" t="s">
        <v>1102</v>
      </c>
      <c r="K58" s="19" t="s">
        <v>1103</v>
      </c>
      <c r="L58" s="19" t="s">
        <v>16</v>
      </c>
      <c r="M58" s="20" t="s">
        <v>17</v>
      </c>
    </row>
    <row r="59" spans="2:14" x14ac:dyDescent="0.25">
      <c r="B59" s="8"/>
      <c r="C59" s="8"/>
      <c r="D59" s="57" t="s">
        <v>580</v>
      </c>
      <c r="E59" s="8"/>
      <c r="F59" s="91"/>
      <c r="G59" s="136"/>
      <c r="H59" s="8"/>
      <c r="I59" s="8"/>
      <c r="J59" s="8"/>
      <c r="K59" s="8"/>
      <c r="L59" s="8"/>
      <c r="M59" s="8"/>
    </row>
    <row r="60" spans="2:14" x14ac:dyDescent="0.25">
      <c r="B60" s="8"/>
      <c r="C60" s="8"/>
      <c r="D60" s="13" t="s">
        <v>1136</v>
      </c>
      <c r="E60" s="8" t="s">
        <v>576</v>
      </c>
      <c r="F60" s="51">
        <v>1.67</v>
      </c>
      <c r="G60" s="51">
        <v>1.67</v>
      </c>
      <c r="H60" s="155" t="s">
        <v>1004</v>
      </c>
      <c r="I60" s="156" t="s">
        <v>1006</v>
      </c>
      <c r="J60" s="51">
        <v>1.67</v>
      </c>
      <c r="K60" s="183"/>
      <c r="L60" s="8" t="s">
        <v>958</v>
      </c>
      <c r="M60" s="8"/>
    </row>
    <row r="61" spans="2:14" x14ac:dyDescent="0.25">
      <c r="B61" s="8"/>
      <c r="C61" s="8"/>
      <c r="D61" s="105" t="s">
        <v>33</v>
      </c>
      <c r="E61" s="8" t="s">
        <v>1042</v>
      </c>
      <c r="F61" s="91">
        <v>0.122</v>
      </c>
      <c r="G61" s="166">
        <v>0.122</v>
      </c>
      <c r="H61" s="155" t="s">
        <v>1004</v>
      </c>
      <c r="I61" s="156" t="s">
        <v>1006</v>
      </c>
      <c r="J61" s="183">
        <v>0.122</v>
      </c>
      <c r="K61" s="183"/>
      <c r="L61" s="8" t="s">
        <v>958</v>
      </c>
      <c r="M61" s="123"/>
    </row>
    <row r="62" spans="2:14" x14ac:dyDescent="0.25">
      <c r="B62" s="8"/>
      <c r="C62" s="8"/>
      <c r="D62" s="105" t="s">
        <v>34</v>
      </c>
      <c r="E62" s="8" t="s">
        <v>578</v>
      </c>
      <c r="F62" s="91">
        <v>0.60099999999999998</v>
      </c>
      <c r="G62" s="136">
        <v>0.60099999999999998</v>
      </c>
      <c r="H62" s="155" t="s">
        <v>1004</v>
      </c>
      <c r="I62" s="156" t="s">
        <v>1006</v>
      </c>
      <c r="J62" s="183">
        <v>0.60099999999999998</v>
      </c>
      <c r="K62" s="183"/>
      <c r="L62" s="8" t="s">
        <v>958</v>
      </c>
      <c r="M62" s="123"/>
    </row>
    <row r="63" spans="2:14" x14ac:dyDescent="0.25">
      <c r="B63" s="8"/>
      <c r="C63" s="8"/>
      <c r="D63" s="105" t="s">
        <v>37</v>
      </c>
      <c r="E63" s="8" t="s">
        <v>579</v>
      </c>
      <c r="F63" s="51">
        <v>0.63</v>
      </c>
      <c r="G63" s="51">
        <v>0.63</v>
      </c>
      <c r="H63" s="155" t="s">
        <v>1004</v>
      </c>
      <c r="I63" s="156" t="s">
        <v>1006</v>
      </c>
      <c r="J63" s="51">
        <v>0.63</v>
      </c>
      <c r="K63" s="183"/>
      <c r="L63" s="8" t="s">
        <v>958</v>
      </c>
      <c r="M63" s="123" t="s">
        <v>1040</v>
      </c>
    </row>
    <row r="64" spans="2:14" x14ac:dyDescent="0.25">
      <c r="B64" s="8"/>
      <c r="C64" s="8"/>
      <c r="D64" s="105" t="s">
        <v>40</v>
      </c>
      <c r="E64" s="8" t="s">
        <v>615</v>
      </c>
      <c r="F64" s="91">
        <v>0.156</v>
      </c>
      <c r="G64" s="136">
        <v>0.156</v>
      </c>
      <c r="H64" s="155" t="s">
        <v>1004</v>
      </c>
      <c r="I64" s="156" t="s">
        <v>1006</v>
      </c>
      <c r="J64" s="183">
        <v>0.156</v>
      </c>
      <c r="K64" s="183"/>
      <c r="L64" s="8" t="s">
        <v>958</v>
      </c>
      <c r="M64" s="123"/>
    </row>
    <row r="65" spans="2:13" x14ac:dyDescent="0.25">
      <c r="B65" s="8"/>
      <c r="C65" s="8"/>
      <c r="D65" s="105" t="s">
        <v>635</v>
      </c>
      <c r="E65" s="8" t="s">
        <v>636</v>
      </c>
      <c r="F65" s="92">
        <v>6.0999999999999999E-2</v>
      </c>
      <c r="G65" s="136">
        <v>6.0999999999999999E-2</v>
      </c>
      <c r="H65" s="155" t="s">
        <v>1004</v>
      </c>
      <c r="I65" s="156" t="s">
        <v>1006</v>
      </c>
      <c r="J65" s="183">
        <v>6.0999999999999999E-2</v>
      </c>
      <c r="K65" s="183"/>
      <c r="L65" s="8" t="s">
        <v>958</v>
      </c>
      <c r="M65" s="123"/>
    </row>
    <row r="66" spans="2:13" x14ac:dyDescent="0.25">
      <c r="B66" s="8"/>
      <c r="C66" s="8"/>
      <c r="D66" s="105" t="s">
        <v>616</v>
      </c>
      <c r="E66" s="8" t="s">
        <v>617</v>
      </c>
      <c r="F66" s="91">
        <v>0.61599999999999999</v>
      </c>
      <c r="G66" s="136">
        <v>0.61599999999999999</v>
      </c>
      <c r="H66" s="155" t="s">
        <v>1004</v>
      </c>
      <c r="I66" s="156" t="s">
        <v>1006</v>
      </c>
      <c r="J66" s="183">
        <v>0.61599999999999999</v>
      </c>
      <c r="K66" s="183"/>
      <c r="L66" s="8" t="s">
        <v>958</v>
      </c>
      <c r="M66" s="123"/>
    </row>
    <row r="67" spans="2:13" x14ac:dyDescent="0.25">
      <c r="B67" s="8"/>
      <c r="C67" s="8"/>
      <c r="D67" s="105" t="s">
        <v>618</v>
      </c>
      <c r="E67" s="8" t="s">
        <v>619</v>
      </c>
      <c r="F67" s="91">
        <v>0.36299999999999999</v>
      </c>
      <c r="G67" s="136">
        <v>0.36299999999999999</v>
      </c>
      <c r="H67" s="155" t="s">
        <v>1004</v>
      </c>
      <c r="I67" s="156" t="s">
        <v>1006</v>
      </c>
      <c r="J67" s="183">
        <v>0.36299999999999999</v>
      </c>
      <c r="K67" s="183"/>
      <c r="L67" s="8" t="s">
        <v>958</v>
      </c>
      <c r="M67" s="123"/>
    </row>
    <row r="68" spans="2:13" x14ac:dyDescent="0.25">
      <c r="B68" s="8"/>
      <c r="C68" s="8"/>
      <c r="D68" s="105" t="s">
        <v>274</v>
      </c>
      <c r="E68" s="8" t="s">
        <v>620</v>
      </c>
      <c r="F68" s="91">
        <v>0.27200000000000002</v>
      </c>
      <c r="G68" s="136">
        <v>0.27200000000000002</v>
      </c>
      <c r="H68" s="155" t="s">
        <v>1004</v>
      </c>
      <c r="I68" s="156" t="s">
        <v>1006</v>
      </c>
      <c r="J68" s="183">
        <v>0.27200000000000002</v>
      </c>
      <c r="K68" s="183"/>
      <c r="L68" s="8" t="s">
        <v>958</v>
      </c>
      <c r="M68" s="123"/>
    </row>
    <row r="69" spans="2:13" x14ac:dyDescent="0.25">
      <c r="B69" s="8"/>
      <c r="C69" s="8"/>
      <c r="D69" s="105" t="s">
        <v>621</v>
      </c>
      <c r="E69" s="8" t="s">
        <v>622</v>
      </c>
      <c r="F69" s="91">
        <v>0.20599999999999999</v>
      </c>
      <c r="G69" s="136">
        <v>0.20599999999999999</v>
      </c>
      <c r="H69" s="155" t="s">
        <v>1004</v>
      </c>
      <c r="I69" s="156" t="s">
        <v>1006</v>
      </c>
      <c r="J69" s="183">
        <v>0.20599999999999999</v>
      </c>
      <c r="K69" s="183"/>
      <c r="L69" s="8" t="s">
        <v>958</v>
      </c>
      <c r="M69" s="123"/>
    </row>
    <row r="70" spans="2:13" x14ac:dyDescent="0.25">
      <c r="B70" s="8"/>
      <c r="C70" s="8"/>
      <c r="D70" s="105" t="s">
        <v>623</v>
      </c>
      <c r="E70" s="8" t="s">
        <v>624</v>
      </c>
      <c r="F70" s="91">
        <v>0.17899999999999999</v>
      </c>
      <c r="G70" s="136">
        <v>0.17899999999999999</v>
      </c>
      <c r="H70" s="155" t="s">
        <v>1004</v>
      </c>
      <c r="I70" s="156" t="s">
        <v>1006</v>
      </c>
      <c r="J70" s="183">
        <v>0.17899999999999999</v>
      </c>
      <c r="K70" s="183"/>
      <c r="L70" s="8" t="s">
        <v>958</v>
      </c>
      <c r="M70" s="123"/>
    </row>
    <row r="71" spans="2:13" x14ac:dyDescent="0.25">
      <c r="B71" s="8"/>
      <c r="C71" s="8"/>
      <c r="D71" s="105" t="s">
        <v>625</v>
      </c>
      <c r="E71" s="8" t="s">
        <v>626</v>
      </c>
      <c r="F71" s="91">
        <v>1.4E-2</v>
      </c>
      <c r="G71" s="136">
        <v>1.4E-2</v>
      </c>
      <c r="H71" s="155" t="s">
        <v>1004</v>
      </c>
      <c r="I71" s="156" t="s">
        <v>1006</v>
      </c>
      <c r="J71" s="183">
        <v>1.4E-2</v>
      </c>
      <c r="K71" s="183"/>
      <c r="L71" s="8" t="s">
        <v>958</v>
      </c>
      <c r="M71" s="123"/>
    </row>
    <row r="72" spans="2:13" x14ac:dyDescent="0.25">
      <c r="B72" s="8"/>
      <c r="C72" s="8"/>
      <c r="D72" s="13" t="s">
        <v>1119</v>
      </c>
      <c r="E72" s="8" t="s">
        <v>577</v>
      </c>
      <c r="F72" s="91">
        <v>1.3480000000000001</v>
      </c>
      <c r="G72" s="136">
        <v>1.3480000000000001</v>
      </c>
      <c r="H72" s="155" t="s">
        <v>1004</v>
      </c>
      <c r="I72" s="156" t="s">
        <v>1006</v>
      </c>
      <c r="J72" s="183">
        <v>1.3480000000000001</v>
      </c>
      <c r="K72" s="183"/>
      <c r="L72" s="8" t="s">
        <v>958</v>
      </c>
      <c r="M72" s="8"/>
    </row>
    <row r="73" spans="2:13" x14ac:dyDescent="0.25">
      <c r="B73" s="8"/>
      <c r="C73" s="8"/>
      <c r="D73" s="13" t="s">
        <v>421</v>
      </c>
      <c r="E73" s="8" t="s">
        <v>581</v>
      </c>
      <c r="F73" s="91">
        <v>0.82799999999999996</v>
      </c>
      <c r="G73" s="136">
        <v>0.82799999999999996</v>
      </c>
      <c r="H73" s="155" t="s">
        <v>1004</v>
      </c>
      <c r="I73" s="156" t="s">
        <v>1006</v>
      </c>
      <c r="J73" s="183">
        <v>0.82799999999999996</v>
      </c>
      <c r="K73" s="183"/>
      <c r="L73" s="8" t="s">
        <v>958</v>
      </c>
      <c r="M73" s="8"/>
    </row>
    <row r="74" spans="2:13" x14ac:dyDescent="0.25">
      <c r="B74" s="8"/>
      <c r="C74" s="8"/>
      <c r="D74" s="13" t="s">
        <v>582</v>
      </c>
      <c r="E74" s="8" t="s">
        <v>583</v>
      </c>
      <c r="F74" s="91">
        <v>1.135</v>
      </c>
      <c r="G74" s="136">
        <v>1.135</v>
      </c>
      <c r="H74" s="155" t="s">
        <v>1004</v>
      </c>
      <c r="I74" s="156" t="s">
        <v>1006</v>
      </c>
      <c r="J74" s="183">
        <v>1.135</v>
      </c>
      <c r="K74" s="183"/>
      <c r="L74" s="8" t="s">
        <v>958</v>
      </c>
      <c r="M74" s="8"/>
    </row>
    <row r="75" spans="2:13" x14ac:dyDescent="0.25">
      <c r="B75" s="8"/>
      <c r="C75" s="8"/>
      <c r="D75" s="13" t="s">
        <v>425</v>
      </c>
      <c r="E75" s="8" t="s">
        <v>584</v>
      </c>
      <c r="F75" s="91">
        <v>0.85499999999999998</v>
      </c>
      <c r="G75" s="136">
        <v>0.85499999999999998</v>
      </c>
      <c r="H75" s="155" t="s">
        <v>1004</v>
      </c>
      <c r="I75" s="156" t="s">
        <v>1006</v>
      </c>
      <c r="J75" s="183">
        <v>0.85499999999999998</v>
      </c>
      <c r="K75" s="183"/>
      <c r="L75" s="8" t="s">
        <v>958</v>
      </c>
      <c r="M75" s="8"/>
    </row>
    <row r="76" spans="2:13" x14ac:dyDescent="0.25">
      <c r="B76" s="8"/>
      <c r="C76" s="8"/>
      <c r="D76" s="13" t="s">
        <v>442</v>
      </c>
      <c r="E76" s="8" t="s">
        <v>585</v>
      </c>
      <c r="F76" s="91">
        <v>0.88200000000000001</v>
      </c>
      <c r="G76" s="136">
        <v>0.88200000000000001</v>
      </c>
      <c r="H76" s="155" t="s">
        <v>1004</v>
      </c>
      <c r="I76" s="156" t="s">
        <v>1006</v>
      </c>
      <c r="J76" s="183">
        <v>0.88200000000000001</v>
      </c>
      <c r="K76" s="183"/>
      <c r="L76" s="8" t="s">
        <v>958</v>
      </c>
      <c r="M76" s="8"/>
    </row>
    <row r="77" spans="2:13" x14ac:dyDescent="0.25">
      <c r="B77" s="8"/>
      <c r="C77" s="8"/>
      <c r="D77" s="13" t="s">
        <v>586</v>
      </c>
      <c r="E77" s="8" t="s">
        <v>587</v>
      </c>
      <c r="F77" s="91">
        <v>0.182</v>
      </c>
      <c r="G77" s="136">
        <v>0.182</v>
      </c>
      <c r="H77" s="155" t="s">
        <v>1004</v>
      </c>
      <c r="I77" s="156" t="s">
        <v>1006</v>
      </c>
      <c r="J77" s="183">
        <v>0.182</v>
      </c>
      <c r="K77" s="183"/>
      <c r="L77" s="8" t="s">
        <v>958</v>
      </c>
      <c r="M77" s="8"/>
    </row>
    <row r="78" spans="2:13" x14ac:dyDescent="0.25">
      <c r="B78" s="8"/>
      <c r="C78" s="8"/>
      <c r="D78" s="13" t="s">
        <v>588</v>
      </c>
      <c r="E78" s="8" t="s">
        <v>589</v>
      </c>
      <c r="F78" s="91">
        <v>0.98899999999999999</v>
      </c>
      <c r="G78" s="136">
        <v>0.98899999999999999</v>
      </c>
      <c r="H78" s="155" t="s">
        <v>1004</v>
      </c>
      <c r="I78" s="156" t="s">
        <v>1006</v>
      </c>
      <c r="J78" s="183">
        <v>0.98899999999999999</v>
      </c>
      <c r="K78" s="183"/>
      <c r="L78" s="8" t="s">
        <v>958</v>
      </c>
      <c r="M78" s="8"/>
    </row>
    <row r="79" spans="2:13" x14ac:dyDescent="0.25">
      <c r="B79" s="8"/>
      <c r="C79" s="8"/>
      <c r="D79" s="13" t="s">
        <v>590</v>
      </c>
      <c r="E79" s="8" t="s">
        <v>591</v>
      </c>
      <c r="F79" s="51">
        <v>0.79</v>
      </c>
      <c r="G79" s="51">
        <v>0.79</v>
      </c>
      <c r="H79" s="155" t="s">
        <v>1004</v>
      </c>
      <c r="I79" s="156" t="s">
        <v>1006</v>
      </c>
      <c r="J79" s="51">
        <v>0.79</v>
      </c>
      <c r="K79" s="183"/>
      <c r="L79" s="8" t="s">
        <v>958</v>
      </c>
      <c r="M79" s="8"/>
    </row>
    <row r="80" spans="2:13" x14ac:dyDescent="0.25">
      <c r="B80" s="8"/>
      <c r="C80" s="8"/>
      <c r="D80" s="13" t="s">
        <v>592</v>
      </c>
      <c r="E80" s="8" t="s">
        <v>593</v>
      </c>
      <c r="F80" s="91">
        <v>0.77400000000000002</v>
      </c>
      <c r="G80" s="136">
        <v>0.77400000000000002</v>
      </c>
      <c r="H80" s="155" t="s">
        <v>1004</v>
      </c>
      <c r="I80" s="156" t="s">
        <v>1006</v>
      </c>
      <c r="J80" s="183">
        <v>0.77400000000000002</v>
      </c>
      <c r="K80" s="183"/>
      <c r="L80" s="8" t="s">
        <v>958</v>
      </c>
      <c r="M80" s="8"/>
    </row>
    <row r="81" spans="2:13" x14ac:dyDescent="0.25">
      <c r="B81" s="8"/>
      <c r="C81" s="8"/>
      <c r="D81" s="13" t="s">
        <v>314</v>
      </c>
      <c r="E81" s="8" t="s">
        <v>594</v>
      </c>
      <c r="F81" s="91">
        <v>0.76900000000000002</v>
      </c>
      <c r="G81" s="136">
        <v>0.76900000000000002</v>
      </c>
      <c r="H81" s="155" t="s">
        <v>1004</v>
      </c>
      <c r="I81" s="156" t="s">
        <v>1006</v>
      </c>
      <c r="J81" s="183">
        <v>0.76900000000000002</v>
      </c>
      <c r="K81" s="183"/>
      <c r="L81" s="8" t="s">
        <v>958</v>
      </c>
      <c r="M81" s="8"/>
    </row>
    <row r="82" spans="2:13" x14ac:dyDescent="0.25">
      <c r="B82" s="8"/>
      <c r="C82" s="8"/>
      <c r="D82" s="13" t="s">
        <v>316</v>
      </c>
      <c r="E82" s="8" t="s">
        <v>595</v>
      </c>
      <c r="F82" s="91">
        <v>0.70399999999999996</v>
      </c>
      <c r="G82" s="136">
        <v>0.70399999999999996</v>
      </c>
      <c r="H82" s="155" t="s">
        <v>1004</v>
      </c>
      <c r="I82" s="156" t="s">
        <v>1006</v>
      </c>
      <c r="J82" s="183">
        <v>0.70399999999999996</v>
      </c>
      <c r="K82" s="183"/>
      <c r="L82" s="8" t="s">
        <v>958</v>
      </c>
      <c r="M82" s="8"/>
    </row>
    <row r="83" spans="2:13" x14ac:dyDescent="0.25">
      <c r="B83" s="8"/>
      <c r="C83" s="8"/>
      <c r="D83" s="13" t="s">
        <v>318</v>
      </c>
      <c r="E83" s="8" t="s">
        <v>596</v>
      </c>
      <c r="F83" s="51">
        <v>0.64</v>
      </c>
      <c r="G83" s="51">
        <v>0.64</v>
      </c>
      <c r="H83" s="155" t="s">
        <v>1004</v>
      </c>
      <c r="I83" s="156" t="s">
        <v>1006</v>
      </c>
      <c r="J83" s="51">
        <v>0.64</v>
      </c>
      <c r="K83" s="183"/>
      <c r="L83" s="8" t="s">
        <v>958</v>
      </c>
      <c r="M83" s="8"/>
    </row>
    <row r="84" spans="2:13" x14ac:dyDescent="0.25">
      <c r="B84" s="8"/>
      <c r="C84" s="8"/>
      <c r="D84" s="13" t="s">
        <v>320</v>
      </c>
      <c r="E84" s="8" t="s">
        <v>597</v>
      </c>
      <c r="F84" s="91">
        <v>0.56399999999999995</v>
      </c>
      <c r="G84" s="136">
        <v>0.56399999999999995</v>
      </c>
      <c r="H84" s="155" t="s">
        <v>1004</v>
      </c>
      <c r="I84" s="156" t="s">
        <v>1006</v>
      </c>
      <c r="J84" s="183">
        <v>0.56399999999999995</v>
      </c>
      <c r="K84" s="183"/>
      <c r="L84" s="8" t="s">
        <v>958</v>
      </c>
      <c r="M84" s="8"/>
    </row>
    <row r="85" spans="2:13" x14ac:dyDescent="0.25">
      <c r="B85" s="8"/>
      <c r="C85" s="8"/>
      <c r="D85" s="13" t="s">
        <v>322</v>
      </c>
      <c r="E85" s="8" t="s">
        <v>597</v>
      </c>
      <c r="F85" s="91">
        <v>0.56399999999999995</v>
      </c>
      <c r="G85" s="136">
        <v>0.56399999999999995</v>
      </c>
      <c r="H85" s="155" t="s">
        <v>1004</v>
      </c>
      <c r="I85" s="156" t="s">
        <v>1006</v>
      </c>
      <c r="J85" s="183">
        <v>0.56399999999999995</v>
      </c>
      <c r="K85" s="183"/>
      <c r="L85" s="8" t="s">
        <v>958</v>
      </c>
      <c r="M85" s="8"/>
    </row>
    <row r="86" spans="2:13" x14ac:dyDescent="0.25">
      <c r="B86" s="8"/>
      <c r="C86" s="8"/>
      <c r="D86" s="13" t="s">
        <v>598</v>
      </c>
      <c r="E86" s="8" t="s">
        <v>599</v>
      </c>
      <c r="F86" s="91">
        <v>0.79700000000000004</v>
      </c>
      <c r="G86" s="136">
        <v>0.79700000000000004</v>
      </c>
      <c r="H86" s="155" t="s">
        <v>1004</v>
      </c>
      <c r="I86" s="156" t="s">
        <v>1006</v>
      </c>
      <c r="J86" s="183">
        <v>0.79700000000000004</v>
      </c>
      <c r="K86" s="183"/>
      <c r="L86" s="8" t="s">
        <v>958</v>
      </c>
      <c r="M86" s="8"/>
    </row>
    <row r="87" spans="2:13" x14ac:dyDescent="0.25">
      <c r="B87" s="8"/>
      <c r="C87" s="8"/>
      <c r="D87" s="105" t="s">
        <v>600</v>
      </c>
      <c r="E87" s="8" t="s">
        <v>601</v>
      </c>
      <c r="F87" s="91">
        <v>6.2E-2</v>
      </c>
      <c r="G87" s="136">
        <v>6.2E-2</v>
      </c>
      <c r="H87" s="155" t="s">
        <v>1004</v>
      </c>
      <c r="I87" s="156" t="s">
        <v>1006</v>
      </c>
      <c r="J87" s="183">
        <v>6.2E-2</v>
      </c>
      <c r="K87" s="183"/>
      <c r="L87" s="8" t="s">
        <v>958</v>
      </c>
      <c r="M87" s="8"/>
    </row>
    <row r="88" spans="2:13" x14ac:dyDescent="0.25">
      <c r="B88" s="8"/>
      <c r="C88" s="8"/>
      <c r="D88" s="105" t="s">
        <v>602</v>
      </c>
      <c r="E88" s="8" t="s">
        <v>603</v>
      </c>
      <c r="F88" s="91">
        <v>8.7999999999999995E-2</v>
      </c>
      <c r="G88" s="136">
        <v>8.7999999999999995E-2</v>
      </c>
      <c r="H88" s="155" t="s">
        <v>1004</v>
      </c>
      <c r="I88" s="156" t="s">
        <v>1006</v>
      </c>
      <c r="J88" s="183">
        <v>8.7999999999999995E-2</v>
      </c>
      <c r="K88" s="183"/>
      <c r="L88" s="8" t="s">
        <v>958</v>
      </c>
      <c r="M88" s="8"/>
    </row>
    <row r="89" spans="2:13" x14ac:dyDescent="0.25">
      <c r="B89" s="8"/>
      <c r="C89" s="8"/>
      <c r="D89" s="105" t="s">
        <v>604</v>
      </c>
      <c r="E89" s="8" t="s">
        <v>605</v>
      </c>
      <c r="F89" s="91">
        <v>0.60099999999999998</v>
      </c>
      <c r="G89" s="136">
        <v>0.60099999999999998</v>
      </c>
      <c r="H89" s="155" t="s">
        <v>1004</v>
      </c>
      <c r="I89" s="156" t="s">
        <v>1006</v>
      </c>
      <c r="J89" s="183">
        <v>0.60099999999999998</v>
      </c>
      <c r="K89" s="183"/>
      <c r="L89" s="8" t="s">
        <v>958</v>
      </c>
      <c r="M89" s="8"/>
    </row>
    <row r="90" spans="2:13" x14ac:dyDescent="0.25">
      <c r="B90" s="8"/>
      <c r="C90" s="8"/>
      <c r="D90" s="105" t="s">
        <v>325</v>
      </c>
      <c r="E90" s="8" t="s">
        <v>606</v>
      </c>
      <c r="F90" s="247">
        <v>0.61399999999999999</v>
      </c>
      <c r="G90" s="247">
        <v>0.61399999999999999</v>
      </c>
      <c r="H90" s="155" t="s">
        <v>1004</v>
      </c>
      <c r="I90" s="156" t="s">
        <v>1006</v>
      </c>
      <c r="J90" s="183">
        <v>0.61399999999999999</v>
      </c>
      <c r="K90" s="183"/>
      <c r="L90" s="8" t="s">
        <v>958</v>
      </c>
      <c r="M90" s="8" t="s">
        <v>1176</v>
      </c>
    </row>
    <row r="91" spans="2:13" x14ac:dyDescent="0.25">
      <c r="B91" s="8"/>
      <c r="C91" s="8"/>
      <c r="D91" s="105" t="s">
        <v>327</v>
      </c>
      <c r="E91" s="8" t="s">
        <v>607</v>
      </c>
      <c r="F91" s="91">
        <v>0.75600000000000001</v>
      </c>
      <c r="G91" s="136">
        <v>0.75600000000000001</v>
      </c>
      <c r="H91" s="155" t="s">
        <v>1004</v>
      </c>
      <c r="I91" s="156" t="s">
        <v>1006</v>
      </c>
      <c r="J91" s="183">
        <v>0.75600000000000001</v>
      </c>
      <c r="K91" s="183"/>
      <c r="L91" s="8" t="s">
        <v>958</v>
      </c>
      <c r="M91" s="123"/>
    </row>
    <row r="92" spans="2:13" x14ac:dyDescent="0.25">
      <c r="B92" s="8"/>
      <c r="C92" s="8"/>
      <c r="D92" s="13" t="s">
        <v>329</v>
      </c>
      <c r="E92" s="8" t="s">
        <v>608</v>
      </c>
      <c r="F92" s="51">
        <v>0.68</v>
      </c>
      <c r="G92" s="51">
        <v>0.68</v>
      </c>
      <c r="H92" s="155" t="s">
        <v>1004</v>
      </c>
      <c r="I92" s="156" t="s">
        <v>1006</v>
      </c>
      <c r="J92" s="51">
        <v>0.68</v>
      </c>
      <c r="K92" s="183"/>
      <c r="L92" s="8" t="s">
        <v>958</v>
      </c>
      <c r="M92" s="8"/>
    </row>
    <row r="93" spans="2:13" x14ac:dyDescent="0.25">
      <c r="B93" s="8"/>
      <c r="C93" s="8"/>
      <c r="D93" s="13" t="s">
        <v>609</v>
      </c>
      <c r="E93" s="8" t="s">
        <v>610</v>
      </c>
      <c r="F93" s="91">
        <v>0.60399999999999998</v>
      </c>
      <c r="G93" s="136">
        <v>0.60399999999999998</v>
      </c>
      <c r="H93" s="155" t="s">
        <v>1004</v>
      </c>
      <c r="I93" s="156" t="s">
        <v>1006</v>
      </c>
      <c r="J93" s="183">
        <v>0.60399999999999998</v>
      </c>
      <c r="K93" s="183"/>
      <c r="L93" s="8" t="s">
        <v>958</v>
      </c>
      <c r="M93" s="8"/>
    </row>
    <row r="94" spans="2:13" x14ac:dyDescent="0.25">
      <c r="B94" s="8"/>
      <c r="C94" s="8"/>
      <c r="D94" s="13" t="s">
        <v>332</v>
      </c>
      <c r="E94" s="8" t="s">
        <v>610</v>
      </c>
      <c r="F94" s="91">
        <v>0.60399999999999998</v>
      </c>
      <c r="G94" s="136">
        <v>0.60399999999999998</v>
      </c>
      <c r="H94" s="155" t="s">
        <v>1004</v>
      </c>
      <c r="I94" s="156" t="s">
        <v>1006</v>
      </c>
      <c r="J94" s="183">
        <v>0.60399999999999998</v>
      </c>
      <c r="K94" s="183"/>
      <c r="L94" s="8" t="s">
        <v>958</v>
      </c>
      <c r="M94" s="8"/>
    </row>
    <row r="95" spans="2:13" x14ac:dyDescent="0.25">
      <c r="B95" s="8"/>
      <c r="C95" s="8"/>
      <c r="D95" s="13" t="s">
        <v>611</v>
      </c>
      <c r="E95" s="8" t="s">
        <v>612</v>
      </c>
      <c r="F95" s="91">
        <v>0.251</v>
      </c>
      <c r="G95" s="136">
        <v>0.251</v>
      </c>
      <c r="H95" s="155" t="s">
        <v>1004</v>
      </c>
      <c r="I95" s="156" t="s">
        <v>1006</v>
      </c>
      <c r="J95" s="183">
        <v>0.251</v>
      </c>
      <c r="K95" s="183"/>
      <c r="L95" s="8" t="s">
        <v>958</v>
      </c>
      <c r="M95" s="8"/>
    </row>
    <row r="96" spans="2:13" x14ac:dyDescent="0.25">
      <c r="B96" s="8"/>
      <c r="C96" s="8"/>
      <c r="D96" s="13" t="s">
        <v>613</v>
      </c>
      <c r="E96" s="8" t="s">
        <v>614</v>
      </c>
      <c r="F96" s="91">
        <v>0.371</v>
      </c>
      <c r="G96" s="136">
        <v>0.371</v>
      </c>
      <c r="H96" s="155" t="s">
        <v>1004</v>
      </c>
      <c r="I96" s="156" t="s">
        <v>1006</v>
      </c>
      <c r="J96" s="183">
        <v>0.371</v>
      </c>
      <c r="K96" s="183"/>
      <c r="L96" s="8" t="s">
        <v>958</v>
      </c>
      <c r="M96" s="8"/>
    </row>
    <row r="97" spans="2:13" x14ac:dyDescent="0.25">
      <c r="B97" s="8"/>
      <c r="C97" s="8"/>
      <c r="D97" s="13" t="s">
        <v>650</v>
      </c>
      <c r="E97" s="8" t="s">
        <v>651</v>
      </c>
      <c r="F97" s="51">
        <v>0.15</v>
      </c>
      <c r="G97" s="51">
        <v>0.15</v>
      </c>
      <c r="H97" s="155" t="s">
        <v>1004</v>
      </c>
      <c r="I97" s="156" t="s">
        <v>1006</v>
      </c>
      <c r="J97" s="51">
        <v>0.15</v>
      </c>
      <c r="K97" s="183"/>
      <c r="L97" s="8" t="s">
        <v>958</v>
      </c>
      <c r="M97" s="8" t="s">
        <v>652</v>
      </c>
    </row>
    <row r="98" spans="2:13" x14ac:dyDescent="0.25">
      <c r="B98" s="8"/>
      <c r="C98" s="8"/>
      <c r="D98" s="13"/>
      <c r="E98" s="139" t="s">
        <v>89</v>
      </c>
      <c r="F98" s="43">
        <f>SUM(F60:F97)</f>
        <v>21.492000000000001</v>
      </c>
      <c r="G98" s="43">
        <f>SUM(G60:G97)</f>
        <v>21.492000000000001</v>
      </c>
      <c r="H98" s="155"/>
      <c r="I98" s="27"/>
      <c r="J98" s="139"/>
      <c r="K98" s="183"/>
      <c r="L98" s="8"/>
      <c r="M98" s="8"/>
    </row>
    <row r="99" spans="2:13" x14ac:dyDescent="0.25">
      <c r="B99" s="8"/>
      <c r="C99" s="8"/>
      <c r="D99" s="57" t="s">
        <v>627</v>
      </c>
      <c r="E99" s="8"/>
      <c r="F99" s="91"/>
      <c r="G99" s="136"/>
      <c r="I99" s="8"/>
      <c r="J99" s="8"/>
      <c r="K99" s="8"/>
      <c r="L99" s="8"/>
      <c r="M99" s="8"/>
    </row>
    <row r="100" spans="2:13" x14ac:dyDescent="0.25">
      <c r="B100" s="8"/>
      <c r="C100" s="8"/>
      <c r="D100" s="13" t="s">
        <v>1177</v>
      </c>
      <c r="E100" s="8" t="s">
        <v>628</v>
      </c>
      <c r="F100" s="179">
        <v>0.70599999999999996</v>
      </c>
      <c r="G100" s="179">
        <v>0.70599999999999996</v>
      </c>
      <c r="H100" s="155">
        <v>2</v>
      </c>
      <c r="I100" s="156" t="s">
        <v>1005</v>
      </c>
      <c r="J100" s="183">
        <v>0.70599999999999996</v>
      </c>
      <c r="K100" s="183"/>
      <c r="L100" s="8" t="s">
        <v>957</v>
      </c>
      <c r="M100" s="8"/>
    </row>
    <row r="101" spans="2:13" x14ac:dyDescent="0.25">
      <c r="B101" s="8"/>
      <c r="C101" s="8"/>
      <c r="D101" s="13" t="s">
        <v>44</v>
      </c>
      <c r="E101" s="8" t="s">
        <v>629</v>
      </c>
      <c r="F101" s="179">
        <v>0.188</v>
      </c>
      <c r="G101" s="179">
        <v>0.188</v>
      </c>
      <c r="H101" s="155">
        <v>2</v>
      </c>
      <c r="I101" s="156" t="s">
        <v>1005</v>
      </c>
      <c r="J101" s="183">
        <v>0.188</v>
      </c>
      <c r="K101" s="183"/>
      <c r="L101" s="8" t="s">
        <v>957</v>
      </c>
      <c r="M101" s="8"/>
    </row>
    <row r="102" spans="2:13" x14ac:dyDescent="0.25">
      <c r="B102" s="8"/>
      <c r="C102" s="8"/>
      <c r="D102" s="13" t="s">
        <v>46</v>
      </c>
      <c r="E102" s="8" t="s">
        <v>630</v>
      </c>
      <c r="F102" s="51">
        <v>0.61</v>
      </c>
      <c r="G102" s="51">
        <v>0.61</v>
      </c>
      <c r="H102" s="155">
        <v>2</v>
      </c>
      <c r="I102" s="156" t="s">
        <v>1005</v>
      </c>
      <c r="J102" s="51">
        <v>0.61</v>
      </c>
      <c r="K102" s="183"/>
      <c r="L102" s="8" t="s">
        <v>957</v>
      </c>
      <c r="M102" s="8"/>
    </row>
    <row r="103" spans="2:13" x14ac:dyDescent="0.25">
      <c r="B103" s="8"/>
      <c r="C103" s="8"/>
      <c r="D103" s="13" t="s">
        <v>47</v>
      </c>
      <c r="E103" s="8" t="s">
        <v>631</v>
      </c>
      <c r="F103" s="51">
        <v>0.55800000000000005</v>
      </c>
      <c r="G103" s="51">
        <v>0.55800000000000005</v>
      </c>
      <c r="H103" s="155">
        <v>2</v>
      </c>
      <c r="I103" s="156" t="s">
        <v>1005</v>
      </c>
      <c r="J103" s="51">
        <v>0.55800000000000005</v>
      </c>
      <c r="K103" s="183"/>
      <c r="L103" s="8" t="s">
        <v>957</v>
      </c>
      <c r="M103" s="8"/>
    </row>
    <row r="104" spans="2:13" x14ac:dyDescent="0.25">
      <c r="B104" s="8"/>
      <c r="C104" s="8"/>
      <c r="D104" s="13" t="s">
        <v>48</v>
      </c>
      <c r="E104" s="8" t="s">
        <v>632</v>
      </c>
      <c r="F104" s="51">
        <v>0.501</v>
      </c>
      <c r="G104" s="51">
        <v>0.501</v>
      </c>
      <c r="H104" s="155">
        <v>2</v>
      </c>
      <c r="I104" s="156" t="s">
        <v>1005</v>
      </c>
      <c r="J104" s="51">
        <v>0.501</v>
      </c>
      <c r="K104" s="183"/>
      <c r="L104" s="8" t="s">
        <v>957</v>
      </c>
      <c r="M104" s="8"/>
    </row>
    <row r="105" spans="2:13" x14ac:dyDescent="0.25">
      <c r="B105" s="8"/>
      <c r="C105" s="8"/>
      <c r="D105" s="13" t="s">
        <v>50</v>
      </c>
      <c r="E105" s="8" t="s">
        <v>633</v>
      </c>
      <c r="F105" s="51">
        <v>0.46800000000000003</v>
      </c>
      <c r="G105" s="51">
        <v>0.46800000000000003</v>
      </c>
      <c r="H105" s="155">
        <v>2</v>
      </c>
      <c r="I105" s="156" t="s">
        <v>1005</v>
      </c>
      <c r="J105" s="51">
        <v>0.46800000000000003</v>
      </c>
      <c r="K105" s="183"/>
      <c r="L105" s="8" t="s">
        <v>957</v>
      </c>
      <c r="M105" s="8"/>
    </row>
    <row r="106" spans="2:13" x14ac:dyDescent="0.25">
      <c r="B106" s="8"/>
      <c r="C106" s="8"/>
      <c r="D106" s="13" t="s">
        <v>51</v>
      </c>
      <c r="E106" s="8" t="s">
        <v>634</v>
      </c>
      <c r="F106" s="51">
        <v>0.56499999999999995</v>
      </c>
      <c r="G106" s="51">
        <v>0.56499999999999995</v>
      </c>
      <c r="H106" s="155">
        <v>2</v>
      </c>
      <c r="I106" s="156" t="s">
        <v>1005</v>
      </c>
      <c r="J106" s="51">
        <v>0.56499999999999995</v>
      </c>
      <c r="K106" s="183"/>
      <c r="L106" s="8" t="s">
        <v>957</v>
      </c>
      <c r="M106" s="8"/>
    </row>
    <row r="107" spans="2:13" x14ac:dyDescent="0.25">
      <c r="B107" s="8"/>
      <c r="C107" s="8"/>
      <c r="D107" s="13" t="s">
        <v>148</v>
      </c>
      <c r="E107" s="8"/>
      <c r="F107" s="179">
        <v>0.65700000000000003</v>
      </c>
      <c r="G107" s="179">
        <v>0.65700000000000003</v>
      </c>
      <c r="H107" s="155">
        <v>2</v>
      </c>
      <c r="I107" s="156" t="s">
        <v>1005</v>
      </c>
      <c r="J107" s="183">
        <v>0.65700000000000003</v>
      </c>
      <c r="K107" s="183"/>
      <c r="L107" s="8" t="s">
        <v>957</v>
      </c>
      <c r="M107" s="8"/>
    </row>
    <row r="108" spans="2:13" ht="15.75" thickBot="1" x14ac:dyDescent="0.3">
      <c r="B108" s="8"/>
      <c r="C108" s="8"/>
      <c r="D108" s="13"/>
      <c r="E108" s="91" t="s">
        <v>89</v>
      </c>
      <c r="F108" s="43">
        <f>SUM(F100:F107)</f>
        <v>4.2530000000000001</v>
      </c>
      <c r="G108" s="43">
        <f>SUM(G100:G107)</f>
        <v>4.2530000000000001</v>
      </c>
      <c r="H108" s="8"/>
      <c r="I108" s="8"/>
      <c r="J108" s="8"/>
      <c r="K108" s="8"/>
      <c r="L108" s="8"/>
      <c r="M108" s="8"/>
    </row>
    <row r="109" spans="2:13" ht="15.75" thickBot="1" x14ac:dyDescent="0.3">
      <c r="B109" s="157" t="s">
        <v>1007</v>
      </c>
      <c r="E109" s="95" t="s">
        <v>705</v>
      </c>
      <c r="F109" s="104">
        <f>SUM(F108,F98,F50,F49,F47,F46,F45,F37,F36,F29,F28,F7)</f>
        <v>108.857</v>
      </c>
      <c r="G109" s="104">
        <f>SUM(G108,G98,G50,G49,G47,G46,G45,G37,G36,G29,G28,G7)</f>
        <v>108.857</v>
      </c>
      <c r="I109" s="203" t="s">
        <v>11</v>
      </c>
      <c r="J109" s="215">
        <f>SUM(J7:J50,J60:J107)</f>
        <v>47.496999999999986</v>
      </c>
      <c r="K109" s="215">
        <f>SUM(K7:K50,K61:K107)</f>
        <v>61.36</v>
      </c>
      <c r="L109" s="61" t="s">
        <v>1035</v>
      </c>
      <c r="M109" s="219">
        <f>J109+K109</f>
        <v>108.85699999999999</v>
      </c>
    </row>
    <row r="110" spans="2:13" x14ac:dyDescent="0.25">
      <c r="B110" s="129" t="s">
        <v>30</v>
      </c>
      <c r="C110" s="129"/>
      <c r="D110" s="129"/>
      <c r="E110" s="110" t="s">
        <v>1000</v>
      </c>
      <c r="F110" s="144">
        <f>SUM(F7,F28,F46,F47,F108)</f>
        <v>45.625</v>
      </c>
      <c r="G110" s="144">
        <f>SUM(G7,G28,G46,G47,G108)</f>
        <v>45.625</v>
      </c>
      <c r="H110" s="129"/>
      <c r="I110" s="205" t="s">
        <v>1104</v>
      </c>
      <c r="J110" s="206">
        <f>SUM(J7:J50,J60:J108)*1000*5</f>
        <v>237484.99999999994</v>
      </c>
      <c r="K110" s="206">
        <f>SUM(K7:K50,K60:K108)*1000*6</f>
        <v>368160</v>
      </c>
      <c r="L110" s="207" t="s">
        <v>1155</v>
      </c>
      <c r="M110" s="177">
        <f>SUM(K29,K37,J39:J44,K49:K50,J60:J107)</f>
        <v>64.923000000000002</v>
      </c>
    </row>
    <row r="111" spans="2:13" x14ac:dyDescent="0.25">
      <c r="E111" s="140" t="s">
        <v>1002</v>
      </c>
      <c r="F111" s="144">
        <f>F109-F110</f>
        <v>63.231999999999999</v>
      </c>
      <c r="G111" s="144">
        <f>G109-G110</f>
        <v>63.231999999999999</v>
      </c>
      <c r="I111" s="208"/>
      <c r="J111" s="209" t="s">
        <v>1105</v>
      </c>
      <c r="K111" s="210">
        <f>J110+K110</f>
        <v>605645</v>
      </c>
      <c r="L111" s="211"/>
    </row>
    <row r="112" spans="2:13" x14ac:dyDescent="0.25">
      <c r="F112" s="144"/>
      <c r="G112" s="144"/>
      <c r="I112" s="194"/>
      <c r="J112" s="186" t="s">
        <v>1126</v>
      </c>
      <c r="K112" s="184">
        <f>SUM(K111/10000)</f>
        <v>60.564500000000002</v>
      </c>
      <c r="L112" s="185" t="s">
        <v>1107</v>
      </c>
    </row>
    <row r="113" spans="5:12" x14ac:dyDescent="0.25">
      <c r="E113" s="110" t="s">
        <v>1033</v>
      </c>
      <c r="F113" s="134">
        <f>F7+F28+F46+F47+F108</f>
        <v>45.625</v>
      </c>
      <c r="G113" s="134">
        <f>G7+G28+G46+G47+G108</f>
        <v>45.625</v>
      </c>
      <c r="H113" t="s">
        <v>1035</v>
      </c>
      <c r="I113" s="194"/>
      <c r="J113" s="186" t="s">
        <v>1125</v>
      </c>
      <c r="K113" s="184">
        <f>(SUM(J31:J35,J39:J44,J60:J97)*5*0.1)+SUM(K29,K37,K49:K50)*6*0.1</f>
        <v>35.161500000000004</v>
      </c>
      <c r="L113" s="185" t="s">
        <v>1107</v>
      </c>
    </row>
    <row r="114" spans="5:12" x14ac:dyDescent="0.25">
      <c r="E114" s="110" t="s">
        <v>1034</v>
      </c>
      <c r="F114" s="134">
        <f>F109-F113</f>
        <v>63.231999999999999</v>
      </c>
      <c r="G114" s="134">
        <f>G109-G113</f>
        <v>63.231999999999999</v>
      </c>
      <c r="H114" t="s">
        <v>1035</v>
      </c>
      <c r="I114" s="193"/>
      <c r="J114" s="188" t="s">
        <v>1108</v>
      </c>
      <c r="K114" s="184">
        <v>4</v>
      </c>
      <c r="L114" s="185" t="s">
        <v>1109</v>
      </c>
    </row>
    <row r="115" spans="5:12" x14ac:dyDescent="0.25">
      <c r="I115" s="193"/>
      <c r="J115" s="188" t="s">
        <v>1110</v>
      </c>
      <c r="K115" s="184">
        <v>1.8</v>
      </c>
      <c r="L115" s="185" t="s">
        <v>1109</v>
      </c>
    </row>
    <row r="116" spans="5:12" x14ac:dyDescent="0.25">
      <c r="I116" s="192"/>
      <c r="J116" s="188" t="s">
        <v>1111</v>
      </c>
      <c r="K116" s="184">
        <v>300</v>
      </c>
      <c r="L116" s="185" t="s">
        <v>1109</v>
      </c>
    </row>
    <row r="117" spans="5:12" x14ac:dyDescent="0.25">
      <c r="I117" s="192"/>
      <c r="J117" s="189" t="s">
        <v>1115</v>
      </c>
      <c r="K117" s="191">
        <f>K112*K114</f>
        <v>242.25800000000001</v>
      </c>
      <c r="L117" s="187" t="s">
        <v>1112</v>
      </c>
    </row>
    <row r="118" spans="5:12" x14ac:dyDescent="0.25">
      <c r="I118" s="70"/>
      <c r="J118" s="189" t="s">
        <v>1116</v>
      </c>
      <c r="K118" s="191">
        <f>K113*K115</f>
        <v>63.290700000000008</v>
      </c>
      <c r="L118" s="187" t="s">
        <v>1112</v>
      </c>
    </row>
    <row r="119" spans="5:12" x14ac:dyDescent="0.25">
      <c r="I119" s="70"/>
      <c r="J119" s="190" t="s">
        <v>1113</v>
      </c>
      <c r="K119" s="191">
        <f>K112*K116/1000</f>
        <v>18.169350000000001</v>
      </c>
      <c r="L119" s="187" t="s">
        <v>1114</v>
      </c>
    </row>
  </sheetData>
  <mergeCells count="14">
    <mergeCell ref="B2:M2"/>
    <mergeCell ref="B3:H3"/>
    <mergeCell ref="I3:M3"/>
    <mergeCell ref="B4:M4"/>
    <mergeCell ref="B5:D5"/>
    <mergeCell ref="E5:I5"/>
    <mergeCell ref="J5:M5"/>
    <mergeCell ref="E57:I57"/>
    <mergeCell ref="J57:M57"/>
    <mergeCell ref="B54:M54"/>
    <mergeCell ref="B55:H55"/>
    <mergeCell ref="I55:M55"/>
    <mergeCell ref="B56:M56"/>
    <mergeCell ref="B57:D57"/>
  </mergeCells>
  <printOptions horizontalCentered="1"/>
  <pageMargins left="0.23622047244094491" right="0.23622047244094491" top="0.74803149606299213" bottom="0.74803149606299213" header="0.31496062992125984" footer="0.31496062992125984"/>
  <pageSetup paperSize="9" scale="76"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9</vt:i4>
      </vt:variant>
    </vt:vector>
  </HeadingPairs>
  <TitlesOfParts>
    <vt:vector size="20" baseType="lpstr">
      <vt:lpstr>Rekapitulace</vt:lpstr>
      <vt:lpstr>3. kolo</vt:lpstr>
      <vt:lpstr>TO Roudnice n.L. 1.a 2.kolo</vt:lpstr>
      <vt:lpstr>TO Lovosice 1.a 2. kolo</vt:lpstr>
      <vt:lpstr>TO Litoměřice 1.a 2. kolo</vt:lpstr>
      <vt:lpstr>TO Ústí n.L. západ 1.a 2. kolo</vt:lpstr>
      <vt:lpstr>TO Ústí n.L. Hl.n. 1.a 2. kolo</vt:lpstr>
      <vt:lpstr>TO Děčín hl.n. 1.a 2. kolo</vt:lpstr>
      <vt:lpstr>TO Děčín východ 1.a 2. kolo</vt:lpstr>
      <vt:lpstr>TO Česká Kamenice 1.a 2. kolo</vt:lpstr>
      <vt:lpstr>TO Rumburk 1.a 2. kolo</vt:lpstr>
      <vt:lpstr>'TO Česká Kamenice 1.a 2. kolo'!Oblast_tisku</vt:lpstr>
      <vt:lpstr>'TO Děčín hl.n. 1.a 2. kolo'!Oblast_tisku</vt:lpstr>
      <vt:lpstr>'TO Děčín východ 1.a 2. kolo'!Oblast_tisku</vt:lpstr>
      <vt:lpstr>'TO Litoměřice 1.a 2. kolo'!Oblast_tisku</vt:lpstr>
      <vt:lpstr>'TO Lovosice 1.a 2. kolo'!Oblast_tisku</vt:lpstr>
      <vt:lpstr>'TO Roudnice n.L. 1.a 2.kolo'!Oblast_tisku</vt:lpstr>
      <vt:lpstr>'TO Rumburk 1.a 2. kolo'!Oblast_tisku</vt:lpstr>
      <vt:lpstr>'TO Ústí n.L. Hl.n. 1.a 2. kolo'!Oblast_tisku</vt:lpstr>
      <vt:lpstr>'TO Ústí n.L. západ 1.a 2. kolo'!Oblast_tisku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Lukášek Jakub, DiS.</dc:creator>
  <cp:lastModifiedBy>Šrédl Tomáš</cp:lastModifiedBy>
  <cp:lastPrinted>2022-02-25T10:01:22Z</cp:lastPrinted>
  <dcterms:created xsi:type="dcterms:W3CDTF">2018-02-12T06:20:26Z</dcterms:created>
  <dcterms:modified xsi:type="dcterms:W3CDTF">2024-10-24T14:09:53Z</dcterms:modified>
</cp:coreProperties>
</file>