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D\Dokumenty\svoboda\PLÁN 2021\ZADÁNÍ\TORNÁDO\PETŘÍČKOVI\"/>
    </mc:Choice>
  </mc:AlternateContent>
  <bookViews>
    <workbookView xWindow="0" yWindow="0" windowWidth="28800" windowHeight="11835"/>
  </bookViews>
  <sheets>
    <sheet name="Rekapitulace" sheetId="4" r:id="rId1"/>
    <sheet name="PHS 1 " sheetId="1" r:id="rId2"/>
    <sheet name="PHS 2" sheetId="2" r:id="rId3"/>
    <sheet name="PHS 3" sheetId="3" r:id="rId4"/>
    <sheet name="Manipulace-OTSKP" sheetId="5" r:id="rId5"/>
    <sheet name="Manipulace-ÚOŽI" sheetId="7" r:id="rId6"/>
    <sheet name="VON-OTSKP" sheetId="6" r:id="rId7"/>
    <sheet name="VON-ÚOŽI" sheetId="8"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5" i="2" l="1"/>
  <c r="G9" i="8" l="1"/>
  <c r="G9" i="6"/>
  <c r="G9" i="7"/>
  <c r="G9" i="5"/>
  <c r="G9" i="3"/>
  <c r="G9" i="2"/>
  <c r="G9" i="1"/>
  <c r="F41" i="7" l="1"/>
  <c r="F64" i="7"/>
  <c r="F62" i="7"/>
  <c r="F60" i="7"/>
  <c r="F53" i="7"/>
  <c r="F52" i="7"/>
  <c r="F51" i="7"/>
  <c r="F50" i="7"/>
  <c r="F48" i="7"/>
  <c r="F47" i="7"/>
  <c r="F46" i="7"/>
  <c r="F44" i="7"/>
  <c r="F43" i="7"/>
  <c r="F42" i="7"/>
  <c r="F40" i="7"/>
  <c r="H34" i="7"/>
  <c r="H32" i="7"/>
  <c r="H30" i="7"/>
  <c r="F20" i="7"/>
  <c r="H46" i="8"/>
  <c r="H40" i="8"/>
  <c r="H34" i="8"/>
  <c r="H28" i="8"/>
  <c r="H22" i="8"/>
  <c r="H15" i="8"/>
  <c r="F208" i="3"/>
  <c r="F207" i="3" s="1"/>
  <c r="F97" i="2"/>
  <c r="F115" i="2"/>
  <c r="F114" i="2" s="1"/>
  <c r="H114" i="2" s="1"/>
  <c r="F131" i="2"/>
  <c r="F130" i="2" s="1"/>
  <c r="H130" i="2" s="1"/>
  <c r="F152" i="2"/>
  <c r="F150" i="2" s="1"/>
  <c r="H150" i="2" s="1"/>
  <c r="F168" i="2"/>
  <c r="F167" i="2" s="1"/>
  <c r="H167" i="2" s="1"/>
  <c r="F171" i="2"/>
  <c r="F169" i="2" s="1"/>
  <c r="H169" i="2" s="1"/>
  <c r="F175" i="2"/>
  <c r="F173" i="2" s="1"/>
  <c r="H173" i="2" s="1"/>
  <c r="F177" i="2"/>
  <c r="F176" i="2" s="1"/>
  <c r="H176" i="2" s="1"/>
  <c r="F68" i="6"/>
  <c r="F61" i="6" s="1"/>
  <c r="H61" i="6" s="1"/>
  <c r="F65" i="7" l="1"/>
  <c r="F57" i="7" s="1"/>
  <c r="H57" i="7" s="1"/>
  <c r="F54" i="7"/>
  <c r="F38" i="7" s="1"/>
  <c r="H38" i="7" s="1"/>
  <c r="H11" i="8"/>
  <c r="G23" i="4" s="1"/>
  <c r="I23" i="4" s="1"/>
  <c r="F26" i="7"/>
  <c r="F25" i="7"/>
  <c r="F23" i="7"/>
  <c r="F22" i="7"/>
  <c r="F19" i="7"/>
  <c r="F18" i="7"/>
  <c r="F45" i="6"/>
  <c r="F38" i="6" s="1"/>
  <c r="H38" i="6" s="1"/>
  <c r="F34" i="6"/>
  <c r="F22" i="6"/>
  <c r="F15" i="6" s="1"/>
  <c r="H15" i="6" s="1"/>
  <c r="H58" i="6"/>
  <c r="H50" i="6"/>
  <c r="H48" i="6"/>
  <c r="F28" i="6"/>
  <c r="F32" i="5"/>
  <c r="H207" i="3"/>
  <c r="F200" i="3"/>
  <c r="F199" i="3" s="1"/>
  <c r="H199" i="3" s="1"/>
  <c r="F191" i="3"/>
  <c r="H191" i="3" s="1"/>
  <c r="F188" i="3"/>
  <c r="F186" i="3" s="1"/>
  <c r="H186" i="3" s="1"/>
  <c r="H184" i="3"/>
  <c r="F180" i="3"/>
  <c r="F178" i="3" s="1"/>
  <c r="H178" i="3" s="1"/>
  <c r="F177" i="3"/>
  <c r="F176" i="3" s="1"/>
  <c r="H176" i="3" s="1"/>
  <c r="F175" i="3"/>
  <c r="F173" i="3" s="1"/>
  <c r="H173" i="3" s="1"/>
  <c r="F171" i="3"/>
  <c r="F169" i="3" s="1"/>
  <c r="H169" i="3" s="1"/>
  <c r="F168" i="3"/>
  <c r="F167" i="3" s="1"/>
  <c r="H167" i="3" s="1"/>
  <c r="F152" i="3"/>
  <c r="F150" i="3" s="1"/>
  <c r="H150" i="3" s="1"/>
  <c r="F131" i="3"/>
  <c r="F130" i="3" s="1"/>
  <c r="H130" i="3" s="1"/>
  <c r="F115" i="3"/>
  <c r="F114" i="3" s="1"/>
  <c r="H114" i="3" s="1"/>
  <c r="F70" i="3"/>
  <c r="F68" i="3" s="1"/>
  <c r="H68" i="3" s="1"/>
  <c r="H66" i="3"/>
  <c r="F42" i="3"/>
  <c r="F40" i="3" s="1"/>
  <c r="F36" i="3"/>
  <c r="F34" i="3" s="1"/>
  <c r="H34" i="3" s="1"/>
  <c r="F18" i="3"/>
  <c r="F16" i="3" s="1"/>
  <c r="F200" i="2"/>
  <c r="F199" i="2" s="1"/>
  <c r="H199" i="2" s="1"/>
  <c r="F191" i="2"/>
  <c r="H191" i="2" s="1"/>
  <c r="F188" i="2"/>
  <c r="F186" i="2" s="1"/>
  <c r="H186" i="2" s="1"/>
  <c r="H184" i="2"/>
  <c r="F180" i="2"/>
  <c r="F178" i="2" s="1"/>
  <c r="H178" i="2" s="1"/>
  <c r="F70" i="2"/>
  <c r="F68" i="2" s="1"/>
  <c r="H68" i="2" s="1"/>
  <c r="H66" i="2"/>
  <c r="F42" i="2"/>
  <c r="F40" i="2" s="1"/>
  <c r="H40" i="2" s="1"/>
  <c r="F36" i="2"/>
  <c r="F34" i="2" s="1"/>
  <c r="H34" i="2" s="1"/>
  <c r="F18" i="2"/>
  <c r="F16" i="2" s="1"/>
  <c r="H16" i="2" s="1"/>
  <c r="F30" i="5"/>
  <c r="F19" i="5"/>
  <c r="F17" i="5"/>
  <c r="F18" i="5"/>
  <c r="F207" i="1"/>
  <c r="F206" i="1"/>
  <c r="F197" i="1"/>
  <c r="H197" i="1" s="1"/>
  <c r="F189" i="1"/>
  <c r="H189" i="1" s="1"/>
  <c r="F186" i="1"/>
  <c r="F184" i="1" s="1"/>
  <c r="H184" i="1" s="1"/>
  <c r="H182" i="1"/>
  <c r="F180" i="1"/>
  <c r="F179" i="1" s="1"/>
  <c r="H179" i="1" s="1"/>
  <c r="F178" i="1"/>
  <c r="F176" i="1" s="1"/>
  <c r="H176" i="1" s="1"/>
  <c r="H173" i="1"/>
  <c r="F171" i="1"/>
  <c r="F169" i="1" s="1"/>
  <c r="H169" i="1" s="1"/>
  <c r="F154" i="1"/>
  <c r="F152" i="1" s="1"/>
  <c r="H152" i="1" s="1"/>
  <c r="F132" i="1"/>
  <c r="F131" i="1"/>
  <c r="F133" i="1" s="1"/>
  <c r="F115" i="1"/>
  <c r="F114" i="1" s="1"/>
  <c r="H114" i="1" s="1"/>
  <c r="F97" i="1"/>
  <c r="F95" i="1" s="1"/>
  <c r="H95" i="1" s="1"/>
  <c r="F70" i="1"/>
  <c r="F68" i="1" s="1"/>
  <c r="H68" i="1" s="1"/>
  <c r="H66" i="1"/>
  <c r="F42" i="1"/>
  <c r="F40" i="1" s="1"/>
  <c r="H40" i="1" s="1"/>
  <c r="F36" i="1"/>
  <c r="F34" i="1" s="1"/>
  <c r="H34" i="1" s="1"/>
  <c r="F18" i="1"/>
  <c r="F16" i="1" s="1"/>
  <c r="H16" i="1" s="1"/>
  <c r="F33" i="5" l="1"/>
  <c r="F28" i="5" s="1"/>
  <c r="F27" i="7"/>
  <c r="F16" i="7" s="1"/>
  <c r="H16" i="7" s="1"/>
  <c r="H11" i="7" s="1"/>
  <c r="G21" i="4" s="1"/>
  <c r="F208" i="1"/>
  <c r="F205" i="1" s="1"/>
  <c r="F35" i="6"/>
  <c r="F25" i="6" s="1"/>
  <c r="H25" i="6" s="1"/>
  <c r="H11" i="6" s="1"/>
  <c r="G22" i="4" s="1"/>
  <c r="F130" i="1"/>
  <c r="H130" i="1" s="1"/>
  <c r="H28" i="5"/>
  <c r="H11" i="2"/>
  <c r="G17" i="4" s="1"/>
  <c r="H40" i="3"/>
  <c r="F97" i="3"/>
  <c r="F95" i="3" s="1"/>
  <c r="H95" i="3" s="1"/>
  <c r="H16" i="3"/>
  <c r="H205" i="1"/>
  <c r="F20" i="5"/>
  <c r="F16" i="5" s="1"/>
  <c r="H16" i="5" s="1"/>
  <c r="H11" i="5" l="1"/>
  <c r="G20" i="4" s="1"/>
  <c r="I20" i="4" s="1"/>
  <c r="I21" i="4"/>
  <c r="I17" i="4"/>
  <c r="H11" i="3"/>
  <c r="G18" i="4" s="1"/>
  <c r="I18" i="4" s="1"/>
  <c r="H11" i="1"/>
  <c r="G16" i="4" s="1"/>
  <c r="I16" i="4" s="1"/>
  <c r="I22" i="4"/>
  <c r="G19" i="4" l="1"/>
  <c r="I19" i="4" s="1"/>
  <c r="G15" i="4"/>
  <c r="I15" i="4"/>
  <c r="G14" i="4" l="1"/>
  <c r="I14" i="4"/>
</calcChain>
</file>

<file path=xl/sharedStrings.xml><?xml version="1.0" encoding="utf-8"?>
<sst xmlns="http://schemas.openxmlformats.org/spreadsheetml/2006/main" count="1041" uniqueCount="379">
  <si>
    <t>Položka číslo</t>
  </si>
  <si>
    <t>Cenová soustava</t>
  </si>
  <si>
    <t>Kód položky</t>
  </si>
  <si>
    <t>Popis položky</t>
  </si>
  <si>
    <t>Měrná jednotka</t>
  </si>
  <si>
    <t>Množství</t>
  </si>
  <si>
    <t>Jednotková cena</t>
  </si>
  <si>
    <t>Cena celkem</t>
  </si>
  <si>
    <t>SOUPIS PRACÍ</t>
  </si>
  <si>
    <t>Stavba:</t>
  </si>
  <si>
    <t>Objekt:</t>
  </si>
  <si>
    <t>Místo:</t>
  </si>
  <si>
    <t>Datum:</t>
  </si>
  <si>
    <t>Zadavatel:</t>
  </si>
  <si>
    <t>Projektant:</t>
  </si>
  <si>
    <t>Zhotovitel:</t>
  </si>
  <si>
    <t>Zpracovatel:</t>
  </si>
  <si>
    <t>Soupis</t>
  </si>
  <si>
    <t>žst. Lužice</t>
  </si>
  <si>
    <t>Dtaum:</t>
  </si>
  <si>
    <t>Moravská Nová Ves -  Lužice</t>
  </si>
  <si>
    <t>REKAPITULACE OBJEKTŮ STAVBY A SOUPISŮ PRACÍ</t>
  </si>
  <si>
    <t>Kód:</t>
  </si>
  <si>
    <t>Kód</t>
  </si>
  <si>
    <t>Popis</t>
  </si>
  <si>
    <t>Cena bez DPH [CZK]</t>
  </si>
  <si>
    <t>Cena s DPH [CZK]</t>
  </si>
  <si>
    <t>Náklady z rozpočtů</t>
  </si>
  <si>
    <t>PS-01</t>
  </si>
  <si>
    <t>SO-01.1</t>
  </si>
  <si>
    <t>PS-02</t>
  </si>
  <si>
    <t>Ostatní</t>
  </si>
  <si>
    <t>SO-02.1</t>
  </si>
  <si>
    <t>SO-02.2</t>
  </si>
  <si>
    <t>žst. Lužice; Moravská Nová Ves - Lužice</t>
  </si>
  <si>
    <t>Žel. spodek</t>
  </si>
  <si>
    <t>SO-01.2</t>
  </si>
  <si>
    <t>SO-01.3</t>
  </si>
  <si>
    <t>SŽ s.o.; OŘ Brno</t>
  </si>
  <si>
    <t>PS-02 - Ostatní</t>
  </si>
  <si>
    <t>0</t>
  </si>
  <si>
    <t>Všeobecné podmínky</t>
  </si>
  <si>
    <t>OTSKP-2019</t>
  </si>
  <si>
    <t>t</t>
  </si>
  <si>
    <t>železobetonové soklové panely: 730*0,6*0,16*2,5; obj. hmotnost 2,5 t/m3</t>
  </si>
  <si>
    <r>
      <t xml:space="preserve">železobetonové konstrukce - odbourání hlav pilot: </t>
    </r>
    <r>
      <rPr>
        <sz val="10"/>
        <color theme="7" tint="-0.249977111117893"/>
        <rFont val="Calibri"/>
        <family val="2"/>
        <charset val="238"/>
      </rPr>
      <t>π</t>
    </r>
    <r>
      <rPr>
        <i/>
        <sz val="10"/>
        <color theme="7" tint="-0.249977111117893"/>
        <rFont val="Calibri "/>
        <charset val="238"/>
      </rPr>
      <t>*0,6/2*0,6/2*0,7*189*2,5; obj. hmotnost 2,5 t/m3</t>
    </r>
  </si>
  <si>
    <t>celkem:</t>
  </si>
  <si>
    <t>železobetonové sloupy 3,8*0,35*0,25*2,5*186; ; obj. hmotnost 2,5 t/m3</t>
  </si>
  <si>
    <t>absorbční protihlukové panely (materiál: železobeton, sonitová deska): 730*2,4*0,18*2,5; obj. hmotnost 2,5 t/m3</t>
  </si>
  <si>
    <t>02811</t>
  </si>
  <si>
    <t xml:space="preserve">PRŮZKUMNÉ PRÁCE GEOTECHNICKÉ NA POVRCHU </t>
  </si>
  <si>
    <t>kpl</t>
  </si>
  <si>
    <t>zaměření stávajícího stavu</t>
  </si>
  <si>
    <t>02852</t>
  </si>
  <si>
    <t>PRŮZKUMNÉ PRÁCE DIAGNOSTIKY KONSTRUKCÍ V PODZEMÍ</t>
  </si>
  <si>
    <t>ks</t>
  </si>
  <si>
    <t>kopané sondy u hlav pilot do hloubky 1 m</t>
  </si>
  <si>
    <t>189 ks/3</t>
  </si>
  <si>
    <t>02911</t>
  </si>
  <si>
    <t>OSTATNÍ POŽADAVKY - GEODETICKÉ ZAMĚŘENÍ</t>
  </si>
  <si>
    <t>zaměření  při realizaci</t>
  </si>
  <si>
    <t>02940-R</t>
  </si>
  <si>
    <t>OSTATNÍ POŽADAVKY - VYPRACOVÁNÍ FOTODOKUMENTACE</t>
  </si>
  <si>
    <t>OSTATNÍ POŽADAVKY - VYPRACOVÁNÍ RDS</t>
  </si>
  <si>
    <t>stavební část</t>
  </si>
  <si>
    <t>statická část</t>
  </si>
  <si>
    <t>statické posouzení stávající PHS</t>
  </si>
  <si>
    <t>projekt ukolejnění</t>
  </si>
  <si>
    <t>02944</t>
  </si>
  <si>
    <t>OSTATNÍ POŽADAVKY - DOKUMENTACE SKUTEČ PROVEDENÍ</t>
  </si>
  <si>
    <t>1</t>
  </si>
  <si>
    <t>Zemní práce</t>
  </si>
  <si>
    <t>ZÁSYP JAM A RÝH ZEMINOU SE ZHUTNĚNÍM</t>
  </si>
  <si>
    <t>m3</t>
  </si>
  <si>
    <t>po odbourání hlav pilot</t>
  </si>
  <si>
    <r>
      <rPr>
        <sz val="10"/>
        <color theme="7" tint="-0.249977111117893"/>
        <rFont val="Calibri"/>
        <family val="2"/>
        <charset val="238"/>
      </rPr>
      <t>π</t>
    </r>
    <r>
      <rPr>
        <i/>
        <sz val="10"/>
        <color theme="7" tint="-0.249977111117893"/>
        <rFont val="Calibri "/>
        <charset val="238"/>
      </rPr>
      <t>*0,6/2*0,6/2*0,7*189</t>
    </r>
  </si>
  <si>
    <t>ÚPRAVA PLÁNĚ BEZ ZHUTNĚNÍ,</t>
  </si>
  <si>
    <t>m2</t>
  </si>
  <si>
    <t xml:space="preserve"> pod soklovými panely v pásu š. 1,0 m</t>
  </si>
  <si>
    <t>730,0*1,0</t>
  </si>
  <si>
    <t>2</t>
  </si>
  <si>
    <t>Základy</t>
  </si>
  <si>
    <t>PILOTY ZE ŽELEZOBETONU C25/30</t>
  </si>
  <si>
    <t>dřík piloty</t>
  </si>
  <si>
    <r>
      <rPr>
        <sz val="10"/>
        <color theme="7" tint="-0.249977111117893"/>
        <rFont val="Calibri"/>
        <family val="2"/>
        <charset val="238"/>
      </rPr>
      <t>π</t>
    </r>
    <r>
      <rPr>
        <i/>
        <sz val="10"/>
        <color theme="7" tint="-0.249977111117893"/>
        <rFont val="Calibri "/>
        <charset val="238"/>
      </rPr>
      <t xml:space="preserve">*0,63/2*0,63/2*(4,0-0,7)*189 </t>
    </r>
  </si>
  <si>
    <t>BEDNĚNÍ HLAV PILOT VČ. ODBEDNĚNÍ</t>
  </si>
  <si>
    <t>PILOTY ZE ŽELEZOBETONU C30/37</t>
  </si>
  <si>
    <t>hlava piloty</t>
  </si>
  <si>
    <r>
      <rPr>
        <sz val="10"/>
        <color theme="7" tint="-0.249977111117893"/>
        <rFont val="Calibri"/>
        <family val="2"/>
        <charset val="238"/>
      </rPr>
      <t>π</t>
    </r>
    <r>
      <rPr>
        <i/>
        <sz val="10"/>
        <color theme="7" tint="-0.249977111117893"/>
        <rFont val="Calibri "/>
        <charset val="238"/>
      </rPr>
      <t xml:space="preserve">*0,63/2*0,63/2*0,7*189 </t>
    </r>
  </si>
  <si>
    <t>VÝZTUŽ PILOT Z OCELI 10505, B500B</t>
  </si>
  <si>
    <t>předpoklad 120 kg/m3</t>
  </si>
  <si>
    <t>(194,448+41,247)*120/1000</t>
  </si>
  <si>
    <t>VRTY PRO PILOTY TŘ II D DO 700MM</t>
  </si>
  <si>
    <t>m</t>
  </si>
  <si>
    <t xml:space="preserve">4,0*189 </t>
  </si>
  <si>
    <t>3</t>
  </si>
  <si>
    <t>Svislé konstrukce</t>
  </si>
  <si>
    <t>SLOUPKY PROTIHLUK STĚN Z KOVU</t>
  </si>
  <si>
    <t>HEB 160: 3,8*42,6*0,001*159</t>
  </si>
  <si>
    <t>2 x UPE 160: (4,2*17*2+0,006*0,1*3,6*7850)*0,001*28</t>
  </si>
  <si>
    <t>STĚNY PROTIHLUKOVÉ Z DÍLCŮ ŽELEZOBETONOVÝCH</t>
  </si>
  <si>
    <t>soklové panely</t>
  </si>
  <si>
    <t xml:space="preserve">730,0*0,5 </t>
  </si>
  <si>
    <t>34715-R</t>
  </si>
  <si>
    <t>STĚNY PROTIHLUKOVÉ Z DÍLCŮ Z PLAST. HMOT</t>
  </si>
  <si>
    <t xml:space="preserve"> jednostranně pohltivý panel NOBA RIZO - snížená vč. textilie - A3, B3</t>
  </si>
  <si>
    <t>730,0*2,5</t>
  </si>
  <si>
    <t>6</t>
  </si>
  <si>
    <t>Úpravy povrchů, podlahy, výplně ovorů</t>
  </si>
  <si>
    <t>642231-R</t>
  </si>
  <si>
    <t>DVEŘE KOMPLETNÍ S OCEL ZÁRUBNÍ KOVOVÉ JEDNOKŘÍDLÉ</t>
  </si>
  <si>
    <t>dveřní sestava: křídlo + pevná část, křídlo rozměr (0,9x2,1 m)</t>
  </si>
  <si>
    <t>7</t>
  </si>
  <si>
    <t>Přidružená stavební výroba</t>
  </si>
  <si>
    <t>741810-R</t>
  </si>
  <si>
    <t>VODIVÉ PROPOJENÍ PRVKŮ PHS</t>
  </si>
  <si>
    <t xml:space="preserve">vodivé pásky pro propojení panelů a sloupů </t>
  </si>
  <si>
    <t>185 ks*5 ks</t>
  </si>
  <si>
    <t>741811-R</t>
  </si>
  <si>
    <t xml:space="preserve">UZEMŇOVACÍ VODIČ NA POVRCHU FEZN </t>
  </si>
  <si>
    <t>730,0 m*1,1</t>
  </si>
  <si>
    <t>9</t>
  </si>
  <si>
    <t>Ostatní práce</t>
  </si>
  <si>
    <t>929000-R</t>
  </si>
  <si>
    <t>INFORMAČNÍ TABULKY - ÚNIK, materiál plast</t>
  </si>
  <si>
    <t>VLOŽKA DILATAČ SPAR Z PRYŽ PÁSŮ ŠÍŘ DO 400MM HLADKÝCH</t>
  </si>
  <si>
    <t>dielektrický koberec pro odizolování vodivě propojené části PHS od ostatních částí PHS</t>
  </si>
  <si>
    <t>10*2*3,0</t>
  </si>
  <si>
    <t>ZKOUŠKA INTEGRITY ULTRAZVUKEM ODRAZ METOD PIT PILOT NESYSTÉMOVÝCH</t>
  </si>
  <si>
    <t>bude provedena na 189 pilotách (100%)</t>
  </si>
  <si>
    <t>železobetonové soklové panely: 730,0* 0,6</t>
  </si>
  <si>
    <t>absorbční protihlukové panely (materiál:žb, sonitová deska): 730,0* 2,4</t>
  </si>
  <si>
    <t>železobetonové soklové panely: 730,0*0,6*0,16*2,5;  obj. hmotnost 2,5 t/m3</t>
  </si>
  <si>
    <t>železobetonové sloupy 3,8*0,35*0,25*186*2,5; obj. hmotnost 2,5 t/m3</t>
  </si>
  <si>
    <t>absorbční protihlukové panely (materiál: žb, sonitová deska): 730,0*2,4*0,18*2,5;  obj. hmotnost 2,5 t/m3</t>
  </si>
  <si>
    <t>ocelové sloupky HEA160: 3,8*30,4*0,001*3</t>
  </si>
  <si>
    <r>
      <t xml:space="preserve">železobetonové kontrukce - odbourání hlav pilot: </t>
    </r>
    <r>
      <rPr>
        <sz val="10"/>
        <color theme="7" tint="-0.249977111117893"/>
        <rFont val="Calibri"/>
        <family val="2"/>
        <charset val="238"/>
      </rPr>
      <t>π</t>
    </r>
    <r>
      <rPr>
        <i/>
        <sz val="10"/>
        <color theme="7" tint="-0.249977111117893"/>
        <rFont val="Calibri "/>
        <charset val="238"/>
      </rPr>
      <t>*0,6/2*0,6/2*0,7*189*2,5; obj. hmotnost 2,5 t/m3 m</t>
    </r>
  </si>
  <si>
    <t>Celkem:</t>
  </si>
  <si>
    <t>OTSKP-2021</t>
  </si>
  <si>
    <t>POPLATKY ZA LIKVIDACŮ ODPADŮ NEKONTAMINOVANÝCH - 17 05 04  VYTĚŽENÉ ZEMINY A HORNINY -  I. TŘÍDA TĚŽITELNOSTI</t>
  </si>
  <si>
    <t>PHS 1</t>
  </si>
  <si>
    <t>PHS 2</t>
  </si>
  <si>
    <t>železobetonové soklové panely: 300,0*0,5*0,16*2,5*0,25; obj. hmotnost 2,5 t/m3</t>
  </si>
  <si>
    <r>
      <t xml:space="preserve">železobetonové konstrukce - odbourání hlav sloupů: </t>
    </r>
    <r>
      <rPr>
        <sz val="10"/>
        <color theme="7" tint="-0.249977111117893"/>
        <rFont val="Calibri"/>
        <family val="2"/>
        <charset val="238"/>
      </rPr>
      <t>π</t>
    </r>
    <r>
      <rPr>
        <i/>
        <sz val="10"/>
        <color theme="7" tint="-0.249977111117893"/>
        <rFont val="Calibri "/>
        <charset val="238"/>
      </rPr>
      <t>*0,3*0,3*0,7*40*2,5; obj. hmotnost 2,5 t/m3</t>
    </r>
  </si>
  <si>
    <t>PHS 3</t>
  </si>
  <si>
    <t>železobetonové soklové panely: 486,0*0,5*0,16*2,5*0,25 (25% panelů); obj. hmotnost 2,5 t/m3</t>
  </si>
  <si>
    <t>železobeton - odbourání hlav pilot: 3,142*0,3*0,3*0,7*2,5*126*0,5 (50% hlav pilot); obj. hmotnost 2,5 t/m3</t>
  </si>
  <si>
    <t>POPLATKY ZA LIKVIDACI ODPADŮ NEKONTAMINOVANÝCH</t>
  </si>
  <si>
    <r>
      <rPr>
        <i/>
        <sz val="10"/>
        <color rgb="FF0070C0"/>
        <rFont val="Calibri "/>
        <charset val="238"/>
      </rPr>
      <t>PHS 1</t>
    </r>
    <r>
      <rPr>
        <i/>
        <sz val="10"/>
        <color theme="7" tint="-0.249977111117893"/>
        <rFont val="Calibri "/>
        <family val="2"/>
        <charset val="238"/>
      </rPr>
      <t xml:space="preserve"> - </t>
    </r>
    <r>
      <rPr>
        <sz val="10"/>
        <color theme="7" tint="-0.249977111117893"/>
        <rFont val="Calibri"/>
        <family val="2"/>
        <charset val="238"/>
      </rPr>
      <t>(π</t>
    </r>
    <r>
      <rPr>
        <i/>
        <sz val="10"/>
        <color theme="7" tint="-0.249977111117893"/>
        <rFont val="Calibri "/>
        <charset val="238"/>
      </rPr>
      <t>*0,63/2*0,63/2*4,2*189*1,25 (25%)-37,412)*1,5</t>
    </r>
    <r>
      <rPr>
        <i/>
        <sz val="10"/>
        <color theme="7" tint="-0.249977111117893"/>
        <rFont val="Calibri "/>
        <family val="2"/>
        <charset val="238"/>
      </rPr>
      <t>; obj. hmotnost 1,5 t/m3</t>
    </r>
  </si>
  <si>
    <r>
      <rPr>
        <i/>
        <sz val="10"/>
        <color rgb="FF0070C0"/>
        <rFont val="Calibri "/>
        <charset val="238"/>
      </rPr>
      <t>PHS 2</t>
    </r>
    <r>
      <rPr>
        <i/>
        <sz val="10"/>
        <color theme="7" tint="-0.249977111117893"/>
        <rFont val="Calibri "/>
        <charset val="238"/>
      </rPr>
      <t xml:space="preserve"> - (π*0,63/2*0,63/2*4,2*40*1,25-7,918)*1,5; obj. hmotnost 1,5 t/m3 </t>
    </r>
  </si>
  <si>
    <r>
      <rPr>
        <i/>
        <sz val="10"/>
        <color rgb="FF0070C0"/>
        <rFont val="Calibri "/>
        <charset val="238"/>
      </rPr>
      <t>PHS 3</t>
    </r>
    <r>
      <rPr>
        <i/>
        <sz val="10"/>
        <color theme="7" tint="-0.249977111117893"/>
        <rFont val="Calibri "/>
        <charset val="238"/>
      </rPr>
      <t xml:space="preserve"> - (π*0,63/2*0,63/2*4,2*63*1,25 (25%)-12,471)*1,5</t>
    </r>
  </si>
  <si>
    <t>79/3</t>
  </si>
  <si>
    <r>
      <rPr>
        <sz val="10"/>
        <color theme="7" tint="-0.249977111117893"/>
        <rFont val="Calibri"/>
        <family val="2"/>
        <charset val="238"/>
      </rPr>
      <t>π</t>
    </r>
    <r>
      <rPr>
        <i/>
        <sz val="10"/>
        <color theme="7" tint="-0.249977111117893"/>
        <rFont val="Calibri "/>
        <charset val="238"/>
      </rPr>
      <t>*0,6/2*0,6/2*0,7*40</t>
    </r>
  </si>
  <si>
    <t>ÚPRAVA PLÁNĚ BEZ ZHUTNĚNÍ</t>
  </si>
  <si>
    <t>300,0*1,0</t>
  </si>
  <si>
    <r>
      <rPr>
        <sz val="10"/>
        <color theme="7" tint="-0.249977111117893"/>
        <rFont val="Calibri"/>
        <family val="2"/>
        <charset val="238"/>
      </rPr>
      <t>π</t>
    </r>
    <r>
      <rPr>
        <i/>
        <sz val="10"/>
        <color theme="7" tint="-0.249977111117893"/>
        <rFont val="Calibri "/>
        <charset val="238"/>
      </rPr>
      <t>*0,63/2*0,63/2*(4,0-0,7)*40</t>
    </r>
  </si>
  <si>
    <r>
      <rPr>
        <sz val="10"/>
        <color theme="7" tint="-0.249977111117893"/>
        <rFont val="Calibri"/>
        <family val="2"/>
        <charset val="238"/>
      </rPr>
      <t>π</t>
    </r>
    <r>
      <rPr>
        <i/>
        <sz val="10"/>
        <color theme="7" tint="-0.249977111117893"/>
        <rFont val="Calibri "/>
        <charset val="238"/>
      </rPr>
      <t>*0,63/2*0,63/2*0,7*40</t>
    </r>
  </si>
  <si>
    <t>(41,153+8,729)*120/1000</t>
  </si>
  <si>
    <t>4,0*40</t>
  </si>
  <si>
    <t>HEB 160: 3,8*42,6*0,001*40</t>
  </si>
  <si>
    <t>300,0*0,5*0,25 (25% panelů)</t>
  </si>
  <si>
    <t>34712-R</t>
  </si>
  <si>
    <t>STĚNY PROTIHLUKOVÉ Z DÍLCŮ ŽELEZOBETONOVÝCH - demontáž a zpětná montáž stávajících soklů</t>
  </si>
  <si>
    <t>300,0*2,5</t>
  </si>
  <si>
    <t>71*5</t>
  </si>
  <si>
    <t>300,0*1,1</t>
  </si>
  <si>
    <t>PROTIKOROZ OCHRANA OCEL KONSTR NÁTĚREM VÍCEVRST</t>
  </si>
  <si>
    <t>oprava PKO - 50% sloupů</t>
  </si>
  <si>
    <t>39*3,3*0,918</t>
  </si>
  <si>
    <t>6*2*3,0</t>
  </si>
  <si>
    <t>bude provedena na 40 pilotách (100%)</t>
  </si>
  <si>
    <t>železobetonové soklové panely: 300,0*0,5*0,25 (25%)</t>
  </si>
  <si>
    <t>ocelové sloupy HEA160:  30,4*3,8*40/1000</t>
  </si>
  <si>
    <t>železobeton - odbourání hlav sloupů: 3,142*0,3*0,3*0,7*40*2,5; obj. hmotnost 2,5 t/m3</t>
  </si>
  <si>
    <t>absorbční protihlukové panely (materiál:dřevo, min.vata): 486,0*2,5*0,2*0,7; obj. hmotnost 0,7 t/m3</t>
  </si>
  <si>
    <t>126/3</t>
  </si>
  <si>
    <r>
      <rPr>
        <sz val="10"/>
        <color theme="7" tint="-0.249977111117893"/>
        <rFont val="Calibri"/>
        <family val="2"/>
        <charset val="238"/>
      </rPr>
      <t>π</t>
    </r>
    <r>
      <rPr>
        <i/>
        <sz val="10"/>
        <color theme="7" tint="-0.249977111117893"/>
        <rFont val="Calibri "/>
        <charset val="238"/>
      </rPr>
      <t>*0,6/2*0,6/2*0,7*63</t>
    </r>
  </si>
  <si>
    <t>pod soklovými panely v pásu š. 1,0 m</t>
  </si>
  <si>
    <t>486,0*1,0</t>
  </si>
  <si>
    <r>
      <rPr>
        <sz val="10"/>
        <color theme="7" tint="-0.249977111117893"/>
        <rFont val="Calibri"/>
        <family val="2"/>
        <charset val="238"/>
      </rPr>
      <t>π</t>
    </r>
    <r>
      <rPr>
        <i/>
        <sz val="10"/>
        <color theme="7" tint="-0.249977111117893"/>
        <rFont val="Calibri "/>
        <charset val="238"/>
      </rPr>
      <t>*0,63/2*0,63/2*(4,0-0,7)*63</t>
    </r>
  </si>
  <si>
    <r>
      <rPr>
        <sz val="10"/>
        <color theme="7" tint="-0.249977111117893"/>
        <rFont val="Calibri"/>
        <family val="2"/>
        <charset val="238"/>
      </rPr>
      <t>π</t>
    </r>
    <r>
      <rPr>
        <i/>
        <sz val="10"/>
        <color theme="7" tint="-0.249977111117893"/>
        <rFont val="Calibri "/>
        <charset val="238"/>
      </rPr>
      <t>*0,63/2*0,63/2*0,7*63</t>
    </r>
  </si>
  <si>
    <t>(64,816+13,749)*120/1000</t>
  </si>
  <si>
    <t>4,0*63</t>
  </si>
  <si>
    <t>HEB 160: 3,8*42,6*0,001*63</t>
  </si>
  <si>
    <t>486,0*0,5*0,25 (25% panelů)</t>
  </si>
  <si>
    <t>486,0*2,5</t>
  </si>
  <si>
    <t>125*5</t>
  </si>
  <si>
    <t>486*1,1</t>
  </si>
  <si>
    <t>oprava PKO - 50 % sloupů</t>
  </si>
  <si>
    <t>3,3*0,918*63</t>
  </si>
  <si>
    <t>8*2*3,0</t>
  </si>
  <si>
    <t>bude provedena na 63 pilotách (100%)</t>
  </si>
  <si>
    <t>železobetonové soklové panely: 486,0*0,5*0,25 (25% panelů)</t>
  </si>
  <si>
    <t>železobetonové soklové panely: 486,0*0,5*0,16*2,5*0,25 (25%); obj. hmotnost 2,5 t/m3</t>
  </si>
  <si>
    <t>ocelové sloupky HEA160: 3,8*30,4*0,001*126*0,5 (50%)</t>
  </si>
  <si>
    <t>železobetonové konstrukce - odbourání hlav pilot: 3,142*0,3*0,3*0,7*63*2,5; obj. hmotnost 2,5 t/m3</t>
  </si>
  <si>
    <t>absorbční protihlukové panely (materiál:dřevo, min.vata): 486,0*2,5</t>
  </si>
  <si>
    <t>SO-02.3</t>
  </si>
  <si>
    <t>Manipulace, přepravy, poplatky-OTSKP</t>
  </si>
  <si>
    <t>SO-02.1 - Manipulace, přepravy, poplatky-OTSKP</t>
  </si>
  <si>
    <t>02943</t>
  </si>
  <si>
    <t>PHS 1, PHS 2, PHS 3</t>
  </si>
  <si>
    <t>224324-R</t>
  </si>
  <si>
    <t>železobetonové sloupy vč. hlavy pilot</t>
  </si>
  <si>
    <t>BOURÁNÍ KONSTRUKCÍ ZE ŽELEZOBETONU</t>
  </si>
  <si>
    <t>ocelové sloupy HEA160 vč. hlavy pilot.</t>
  </si>
  <si>
    <t>BOURÁNÍ KONSTRUKCÍ KOVOVÝCH</t>
  </si>
  <si>
    <t>ODSTRANĚNÍ PROTIHLUKOVÝCH STĚNZ DÍLCŮ ŽELEZOBETONOVÝCH</t>
  </si>
  <si>
    <t>položka zahrnuje dodávku a osazení předepsaného materiálu, očištění ploch spáry před úpravou, očištění okolí spáry po úpravě</t>
  </si>
  <si>
    <t>ocelové sloupy HEA160 vč. Hlavy pilot.</t>
  </si>
  <si>
    <t>položka zahrnuje:</t>
  </si>
  <si>
    <t xml:space="preserve"> - rozebrání konstrukce bez ohledu na použitou technologii</t>
  </si>
  <si>
    <t xml:space="preserve"> - veškeré pomocné konstrukce (lešení a pod.)</t>
  </si>
  <si>
    <t xml:space="preserve"> - veškeré další práce plynoucí z technologického předpisu a z platných předpisů</t>
  </si>
  <si>
    <t xml:space="preserve"> - demontáž konstrukce do použitelných součástí a odstranění nepoužitelných</t>
  </si>
  <si>
    <t xml:space="preserve"> - odvoz použitelných částí do skladu a suti na skládku (Nezahrnuje poplatek za skládku)</t>
  </si>
  <si>
    <t xml:space="preserve"> - odstranění sloupků bez ohledu na materiál</t>
  </si>
  <si>
    <t>- úprava  ukládaného  materiálu  vlhčením,  tříděním,  promícháním  nebo  vysoušením,  příp. jiné úpravy za účelem zlepšení jeho  mech. vlastností</t>
  </si>
  <si>
    <t>- ztížení v okolí vedení, konstrukcí a objektů a jejich dočasné zajištění</t>
  </si>
  <si>
    <t>- veškeré  pomocné konstrukce umožňující provedení  zemní konstrukce  (příjezdy,  sjezdy,  nájezdy, lešení, podpěrné konstrukce, přemostění, zpevněné plochy, zakrytí a pod.)</t>
  </si>
  <si>
    <t xml:space="preserve"> - kompletní provedení zemní konstrukce vč. výběru vhodného materiálu</t>
  </si>
  <si>
    <t xml:space="preserve"> - hutnění i různé míry hutnění</t>
  </si>
  <si>
    <t xml:space="preserve"> - ošetření úložiště po celou dobu práce v něm vč. klimatických opatření</t>
  </si>
  <si>
    <t xml:space="preserve"> - ztížení provádění vč. hutnění ve ztížených podmínkách a stísněných prostorech</t>
  </si>
  <si>
    <t xml:space="preserve"> - ztížené ukládání sypaniny pod vodu</t>
  </si>
  <si>
    <t xml:space="preserve"> - ukládání po vrstvách a po jiných nutných částech (figurách) vč. dosypávek</t>
  </si>
  <si>
    <t xml:space="preserve"> - spouštění a nošení materiálu</t>
  </si>
  <si>
    <t xml:space="preserve"> - ruční hutnění</t>
  </si>
  <si>
    <t xml:space="preserve"> - udržování úložiště a jeho ochrana proti vodě</t>
  </si>
  <si>
    <t xml:space="preserve"> - odvedení nebo obvedení vody v okolí úložiště a v úložišti</t>
  </si>
  <si>
    <t>položka zahrnuje úpravu pláně včetně vyrovnání výškových rozdílů</t>
  </si>
  <si>
    <t>- dodání  čerstvého  betonu  (betonové  směsi)  požadované  kvality,  jeho  uložení  do požadovaného tvaru při jakékoliv hustotě výztuže, konzistenci čerstvého betonu a způsobu hutnění, ošetření a ochranu betonu</t>
  </si>
  <si>
    <t>- zhotovení nepropustného, mrazuvzdorného betonu a betonu požadované trvanlivosti a vlastností</t>
  </si>
  <si>
    <t>- zřízení pracovních a dilatačních spar, včetně potřebných úprav, výplně, vložek, opracování, očištění a ošetření</t>
  </si>
  <si>
    <t>- bednění  požadovaných  konstr. (i ztracené) s úpravou  dle požadované  kvality povrchu betonu, včetně odbedňovacích a odskružovacích prostředků</t>
  </si>
  <si>
    <t>- podpěrné  konstr. (skruže) a lešení všech druhů pro bednění, uložení čerstvého betonu, výztuže a doplňkových konstr., vč. požadovaných otvorů, ochranných a bezpečnostních opatření a základů těchto konstrukcí a lešení</t>
  </si>
  <si>
    <t>- vytvoření kotevních čel, kapes, nálitků, a sedel</t>
  </si>
  <si>
    <t>- zřízení  všech  požadovaných  otvorů, kapes, výklenků, prostupů, dutin, drážek a pod., vč. ztížení práce a úprav  kolem nich</t>
  </si>
  <si>
    <t>- úpravy pro osazení výztuže, doplňkových konstrukcí a vybavení</t>
  </si>
  <si>
    <t>- úpravy povrchu pro položení požadované izolace, povlaků a nátěrů, případně vyspravení</t>
  </si>
  <si>
    <t>- výplň, těsnění  a tmelení spar a spojů</t>
  </si>
  <si>
    <t>- opatření  povrchů  betonu  izolací  proti zemní vlhkosti v částech, kde přijdou do styku se zeminou nebo kamenivem</t>
  </si>
  <si>
    <t>- objem betonu pro přebetonování a nadbetonování, který se nepřičítá ke stanovenému objemu výplně piloty</t>
  </si>
  <si>
    <t>- veškerý materiál, výrobky a polotovary, včetně mimostaveništní a vnitrostaveništní dopravy</t>
  </si>
  <si>
    <t>- nezahrnuje dodání a osazení výztuže, nezahrnuje vrty</t>
  </si>
  <si>
    <t xml:space="preserve"> - užití potřebných přísad a technologií výroby betonu</t>
  </si>
  <si>
    <t xml:space="preserve"> - upevnění kotevních prvků a doplňkových konstrukcí</t>
  </si>
  <si>
    <t xml:space="preserve"> - nátěry zabraňující soudržnost betonu a bednění</t>
  </si>
  <si>
    <t xml:space="preserve"> - případné zřízení spojovací vrstvy u základů</t>
  </si>
  <si>
    <t xml:space="preserve"> - úpravy pro osazení zařízení ochrany konstrukce proti vlivu bludných proudů</t>
  </si>
  <si>
    <t xml:space="preserve"> - ukončení piloty pod ústím vrtu a vyplnění zbývající části sypaninou nebo kamenivem</t>
  </si>
  <si>
    <t xml:space="preserve"> - odbourání a odstranění znehodnocené části výplně a úprava hlavy piloty před výstavbou další konstrukční části</t>
  </si>
  <si>
    <t xml:space="preserve"> - zřízení výplně piloty pod hladinou vody</t>
  </si>
  <si>
    <t>- dodání betonářské výztuže v požadované kvalitě, stříhání, řezání, ohýbání a spojování do všech požadovaných tvarů (vč. armakošů) a uložení s požadovaným zajištěním polohy a krytí výztuže betonem</t>
  </si>
  <si>
    <t>- úpravy výztuže pro zřízení kotevních prvků, závěsných ok a doplňkových konstrukcí</t>
  </si>
  <si>
    <t>- vodivé propojení výztuže, které je součástí ochrany konstrukce proti vlivům bludných proudů, vyvedení do měřících skříní nebo míst pro měření bludných proudů (vlastní měřící skříně se uvádějí položkami SD 74)</t>
  </si>
  <si>
    <t xml:space="preserve"> - veškeré svary nebo jiné spoje výztuže</t>
  </si>
  <si>
    <t xml:space="preserve"> - pomocné konstrukce a práce pro osazení a upevnění výztuže</t>
  </si>
  <si>
    <t xml:space="preserve"> - zednické výpomoci pro montáž betonářské výztuže</t>
  </si>
  <si>
    <t xml:space="preserve"> - úpravy výztuže pro osazení doplňkových konstrukcí</t>
  </si>
  <si>
    <t xml:space="preserve"> - ochranu výztuže do doby jejího zabetonování</t>
  </si>
  <si>
    <t xml:space="preserve"> - veškerá opatření pro zajištění soudržnosti výztuže a betonu</t>
  </si>
  <si>
    <t xml:space="preserve"> - povrchovou antikorozní úpravu výztuže</t>
  </si>
  <si>
    <t xml:space="preserve"> - separaci výztuže</t>
  </si>
  <si>
    <t xml:space="preserve"> - osazení měřících zařízení a úpravy pro ně</t>
  </si>
  <si>
    <t xml:space="preserve"> - osazení měřících skříní nebo míst pro měření bludných proudů</t>
  </si>
  <si>
    <t>- zřízení vrtu, svislou a vodorovnou dopravu zeminy bez uložení na skládku, vrtací práce zapaž. i nepaž. vrtu</t>
  </si>
  <si>
    <t>- čerpání vody z vrtu, vyčištění vrtu</t>
  </si>
  <si>
    <t>- dopravu, nájem, provoz a přemístění, montáž a demontáž vrtacích zařízení a dalších mechanismů</t>
  </si>
  <si>
    <t>- vrtací plošiny vč. zemních prací, zpevnění, odvodnění a pod.</t>
  </si>
  <si>
    <t xml:space="preserve"> - zabezpečení vrtacích prací</t>
  </si>
  <si>
    <t xml:space="preserve"> - lešení a podpěrné konstrukce pro práci a manipulaci s vrtacím zařízení a dalších mechanismů</t>
  </si>
  <si>
    <t xml:space="preserve"> - v případě zapažení dočasnými pažnicemi jejich opotřebení</t>
  </si>
  <si>
    <t xml:space="preserve"> - v případě zapažení suspenzí veškeré hospodaření s ní</t>
  </si>
  <si>
    <t xml:space="preserve"> - Nezahrnuje zapažení trvalými pažnicemi</t>
  </si>
  <si>
    <t xml:space="preserve"> - Nezahrnuje uložení zeminy na skládku a poplatek za skládku</t>
  </si>
  <si>
    <t xml:space="preserve"> - nevykazuje se hluché vrtání</t>
  </si>
  <si>
    <t>- dílenská dokumentace, včetně technologického předpisu spojování,</t>
  </si>
  <si>
    <t>- dodání  materiálu  v požadované kvalitě a výroba konstrukce (včetně  pomůcek,  přípravků a prostředků pro výrobu) bez ohledu na náročnost a její hmotnost,</t>
  </si>
  <si>
    <t>- dodání spojovacího materiálu,</t>
  </si>
  <si>
    <t>- zřízení  montážních  a  dilatačních  spojů,  spar, včetně potřebných úprav, vložek, opracování, očištění a ošetření,</t>
  </si>
  <si>
    <t>- podpěr. konstr. a lešení všech druhů pro montáž konstrukcí i doplňkových, včetně požadovaných otvorů, ochranných a bezpečnostních opatření a základů pro tyto konstrukce a lešení,</t>
  </si>
  <si>
    <t xml:space="preserve">- montáž konstrukce na staveništi, včetně montážních prostředků a pomůcek a zednických výpomocí,                              </t>
  </si>
  <si>
    <t>- výplň, těsnění a tmelení spar a spojů,</t>
  </si>
  <si>
    <t>- všechny druhy ocelového kotvení,</t>
  </si>
  <si>
    <t>- dílenskou přejímku a montážní prohlídku, včetně požadovaných dokladů,</t>
  </si>
  <si>
    <t>- zřízení kotevních otvorů nebo jam, nejsou-li částí jiné konstrukce,</t>
  </si>
  <si>
    <t>- osazení kotvení nebo přímo částí konstrukce do podpůrné konstrukce nebo do zeminy,</t>
  </si>
  <si>
    <t>- výplň kotevních otvorů  (příp.  podlití  patních  desek) maltou,  betonem  nebo  jinou speciální hmotou, vyplnění jam zeminou,</t>
  </si>
  <si>
    <t>- veškeré druhy protikorozní ochrany a nátěry konstrukcí,</t>
  </si>
  <si>
    <t>- zvláštní spojovací prostředky, rozebíratelnost konstrukce,</t>
  </si>
  <si>
    <t xml:space="preserve"> - ochranná opatření před účinky bludných proudů</t>
  </si>
  <si>
    <t xml:space="preserve"> - ochranu před přepětím.</t>
  </si>
  <si>
    <t>- dodání dílce požadovaného tvaru a vlastností, jeho skladování, doprava a osazení do definitivní polohy, včetně komplexní technologie výroby a montáže dílců, ošetření a ochrana dílců,</t>
  </si>
  <si>
    <t>- u dílců železobetonových a předpjatých veškerá výztuž, případně i tuhé kovové prvky a závěsná oka,</t>
  </si>
  <si>
    <t>- úpravy a zařízení pro uložení a transport dílce,</t>
  </si>
  <si>
    <t>- veškeré požadované úpravy dílců, včetně doplňkových konstrukcí a vybavení,</t>
  </si>
  <si>
    <t>- sestavení dílce na stavbě včetně montážních zařízení, plošin a prahů a pod.,</t>
  </si>
  <si>
    <t>- výplň, těsnění a tmelení spár a spojů,</t>
  </si>
  <si>
    <t>- očištění a ošetření úložných ploch,</t>
  </si>
  <si>
    <t>- zednické výpomoce pro montáž dílců,</t>
  </si>
  <si>
    <t>- označení dílce výrobním štítkem nebo jiným způsobem,</t>
  </si>
  <si>
    <t>- úpravy dílce pro dodržení požadované přesnosti jeho osazení, včetně případných měření,</t>
  </si>
  <si>
    <t>- veškerá zařízení pro zajištění stability v každém okamžiku,</t>
  </si>
  <si>
    <t>- další práce dané případně specifikací k příslušnému prefabrik. dílci (úprava pohledových ploch, příp. rubových ploch, osazení měřících zařízení, zkoušení a měření dílců a pod.).</t>
  </si>
  <si>
    <t xml:space="preserve"> - rozbourání konstrukce bez ohledu na použitou technologii</t>
  </si>
  <si>
    <t xml:space="preserve"> - nezahrnuje odstranění základových konstrukcí</t>
  </si>
  <si>
    <t xml:space="preserv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</si>
  <si>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ODSTRANĚNÍ PANELŮ PROTIHLUKOVÝCH STĚN Z DÍLCŮ DŘEVĚNÝCH</t>
  </si>
  <si>
    <t>OTSKP-20121</t>
  </si>
  <si>
    <t>ocelové sloupy HEA160: 126*0,5 (50%) vč. Hlavy pilot.</t>
  </si>
  <si>
    <t>- veškerou manipulaci s vybouranou sutí a hmotami včetně uložení na skládku. Nezahrnuje poplatek za skládku, který se vykazuje v položce 0141** (s výjimkou malého množství bouraného materiálu, kde je možné poplatek zahrnout do jednotkové ceny bourání – teno fakt musí být uveden v doplňujícím textu k položce)</t>
  </si>
  <si>
    <t>ODSTRANĚNÍ PROTIHLUKOVÝCH STĚN Z DÍLCŮ ŽELEZOBETONOVÝCH</t>
  </si>
  <si>
    <t>zahrnuje veškeré náklady spojené s objednatelem požadovanými pracemi</t>
  </si>
  <si>
    <t xml:space="preserve">Položka obsahuje podklady a dokumentaci zkoušky; </t>
  </si>
  <si>
    <t xml:space="preserve">- případné stavební práce spojené s přípravou a provedením zkoušky; </t>
  </si>
  <si>
    <t xml:space="preserve">- veškerá zkušební a měřící zařízení vč. opotřebení a nájmu; </t>
  </si>
  <si>
    <t xml:space="preserve">- výpomoce při vlastní zkoušce; </t>
  </si>
  <si>
    <t xml:space="preserve"> - provedení vlastní zkoušky a její vyhodnocení.</t>
  </si>
  <si>
    <t>SO-02.3 - VON-OTSKP</t>
  </si>
  <si>
    <t>SO-02.4</t>
  </si>
  <si>
    <t>PHS 1 - v km 98,400 - 99,125 vpravo-OTSKP</t>
  </si>
  <si>
    <t>PHS 3 - v km 96,675 - 97,100 vpravo-OTSKP</t>
  </si>
  <si>
    <t>PHS 2 - v km 97,750 - 98,055 vpravo-OTSKP</t>
  </si>
  <si>
    <t>SO-01.1 - PHS 1 - v km 98,400 - 99,125 vpravo-OTSKP</t>
  </si>
  <si>
    <t>SO-01.2 - PHS 2 - v km 97,750 - 98,055 vpravo-OTSKP</t>
  </si>
  <si>
    <t>SO-01.3 - PHS 3 - v km 96,675 - 97,100 vpravo-OTSKP</t>
  </si>
  <si>
    <t>Manipulace, přepravy, poplatky-ÚOŽI</t>
  </si>
  <si>
    <t>VON-ÚOŽI</t>
  </si>
  <si>
    <t>SO-02.2 - Manipulace, přepravy, poplatky-ÚOŽI</t>
  </si>
  <si>
    <t>SO-02.4 - VON-ÚOŽI</t>
  </si>
  <si>
    <t>Poplatek uložení odpadu betonových prefabrikátů</t>
  </si>
  <si>
    <t>ÚOŽI 2021</t>
  </si>
  <si>
    <t>Přeprava mechanizace na místo prováděných prací o hmotnosti do 12 t přes 50 do 100 km</t>
  </si>
  <si>
    <t>kus</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</si>
  <si>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</si>
  <si>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Přeprava mechanizace na místo prováděných prací o hmotnosti přes 12 t přes 50 do 100 km</t>
  </si>
  <si>
    <t>Přeprava mechanizace na místo prováděných prací o hmotnosti dpřes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</si>
  <si>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Přeprava mechanizace na místo prováděných prací o hmotnosti přes 12 t do 300 km</t>
  </si>
  <si>
    <t>Přeprava mechanizace na místo prováděných prací o hmotnosti dpřes 12 t 300 km  Poznámka: 1. Ceny jsou určeny pro dopravu mechanizmů na místo prováděných prací po silnici i po kolejích.2. V ceně jsou započteny i náklady na zpáteční cestu dopravního prostředku. Měrnou jednotkou je kus přepravovaného stroje.</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</si>
  <si>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</si>
  <si>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obousměrná (např. dodávek z vlastních zásob zhotovitele nebo objednatele nebo výzisku) mechanizací o nosnosti přes 3,5 t objemnějšího kusového materiálu (prefabrikátů, stožárů, výhybek, rozvaděčů, vybouraných hmot atd.) do 80 km</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</si>
  <si>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</si>
  <si>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Vodorovné přemístění výkopku a odvoz vytěžené zeminy na skládku.</t>
  </si>
  <si>
    <t>(π*0,63/2*0,63/2*4,2*189*1,25-37,412); obj. hmotnost 2,0 t/m3</t>
  </si>
  <si>
    <t>(π*0,63/2*0,63/2*4,2*40*1,25-7,918); obj. hmotnost 2,0 t/m3</t>
  </si>
  <si>
    <t>(π*0,63/2*0,63/2*4,2*63*1,25-12,471); obj. hmotnost 2,0 t/m3</t>
  </si>
  <si>
    <t>Doprava obousměrná (např. dodávek z vlastních zásob zhotovitele nebo objednatele nebo výzisku) mechanizací o nosnosti přes 3,5 t sypanin (kameniva, písku, suti, dlažebních kostek, atd.) do 80 km</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</si>
  <si>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</si>
  <si>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015140-R</t>
  </si>
  <si>
    <t>1. Položka obsahuje:</t>
  </si>
  <si>
    <t xml:space="preserve"> – veškeré poplatky provozovateli skládky, recyklační linky nebo jiného zařízení na zpracování nebo likvidaci odpadů související s převzetím, uložením, zpracováním nebo likvidací odpadu</t>
  </si>
  <si>
    <t>2. Položka neobsahuje:</t>
  </si>
  <si>
    <t xml:space="preserve"> – náklady spojené s dopravou odpadu z místa stavby na místo převzetí provozovatelem skládky, recyklační linky nebo jiného zařízení na zpracování nebo likvidaci odpadů</t>
  </si>
  <si>
    <t>3. Způsob měření:</t>
  </si>
  <si>
    <t>Tunou se rozumí hmotnost odpadu vytříděného v souladu se zákonem č. 185/2001 Sb., o nakládání s odpady, v platném znění.</t>
  </si>
  <si>
    <t>VON-OTSKP</t>
  </si>
  <si>
    <t>vrtací souprava pro zakládání pilot, návoz do tří výluk</t>
  </si>
  <si>
    <t>022121001</t>
  </si>
  <si>
    <t>Geodetické práce Diagnostika technické infrastruktury Vytýčení trasy inženýrských sítí</t>
  </si>
  <si>
    <t>%</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</si>
  <si>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</si>
  <si>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t>
  </si>
  <si>
    <t>Základna pro výpočet - dotyčné práce</t>
  </si>
  <si>
    <t>Vytyčení inženýrských sítí v místě PHS1, PHS2 a PHS3</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</si>
  <si>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</si>
  <si>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031101041</t>
  </si>
  <si>
    <t>Základna pro výpočet - ZRN</t>
  </si>
  <si>
    <t>Inženýrská činnost střežení pracovní skupiny zaměstnanců</t>
  </si>
  <si>
    <t>024101001</t>
  </si>
  <si>
    <t>Územní vlivy práce na těžce přístupných místech</t>
  </si>
  <si>
    <t>032104001</t>
  </si>
  <si>
    <t>Provozní vlivy Rušení prací železničním provozem širá trať nebo dopravny s kolejovým rozvětvením s počtem vlaků za směnu 8,5 hod. přes 25 do 50</t>
  </si>
  <si>
    <t>033121011</t>
  </si>
  <si>
    <t>Další náklady na pracovníky Zákonné příplatky ke mzdě za práci o sobotách, nedělích a státem uznaných svátcích</t>
  </si>
  <si>
    <t>034111001</t>
  </si>
  <si>
    <t>kč/hod</t>
  </si>
  <si>
    <t>PS-01 - Žel. spodek</t>
  </si>
  <si>
    <t>Odstranění škod po tornádu v odvětví ST-PHS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</si>
</sst>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Kč&quot;_-;\-* #,##0.00\ &quot;Kč&quot;_-;_-* &quot;-&quot;??\ &quot;Kč&quot;_-;_-@_-"/>
    <numFmt numFmtId="164" formatCode="#,##0.000"/>
    <numFmt numFmtId="165" formatCode="###\ ###\ ###\ ##0.00"/>
    <numFmt numFmtId="166" formatCode="#\ ##0.00"/>
    <numFmt numFmtId="167" formatCode="0.000"/>
    <numFmt numFmtId="168" formatCode="#\ ##0.000"/>
  </numFmts>
  <fonts count="38">
    <font>
      <sz val="10"/>
      <color theme="1"/>
      <name val="Verdana"/>
      <family val="2"/>
      <charset val="238"/>
    </font>
    <font>
      <sz val="10"/>
      <color theme="1"/>
      <name val="Verdana"/>
      <family val="2"/>
      <charset val="238"/>
    </font>
    <font>
      <b/>
      <sz val="10"/>
      <color theme="1"/>
      <name val="Verdana"/>
      <family val="2"/>
      <charset val="238"/>
    </font>
    <font>
      <sz val="11"/>
      <name val="Arial CE"/>
      <family val="2"/>
      <charset val="238"/>
    </font>
    <font>
      <b/>
      <sz val="10"/>
      <color theme="1"/>
      <name val="Calibri "/>
      <charset val="238"/>
    </font>
    <font>
      <b/>
      <sz val="10"/>
      <name val="Calibri "/>
      <charset val="238"/>
    </font>
    <font>
      <b/>
      <sz val="12"/>
      <color theme="1"/>
      <name val="Verdana"/>
      <family val="2"/>
      <charset val="238"/>
    </font>
    <font>
      <b/>
      <sz val="14"/>
      <name val="Arial CE"/>
      <family val="2"/>
      <charset val="238"/>
    </font>
    <font>
      <sz val="10"/>
      <color rgb="FF969696"/>
      <name val="Arial CE"/>
      <family val="2"/>
      <charset val="238"/>
    </font>
    <font>
      <sz val="10"/>
      <name val="Arial CE"/>
      <family val="2"/>
      <charset val="238"/>
    </font>
    <font>
      <b/>
      <sz val="11"/>
      <name val="Arial CE"/>
      <family val="2"/>
      <charset val="238"/>
    </font>
    <font>
      <sz val="9"/>
      <name val="Arial CE"/>
      <family val="2"/>
      <charset val="238"/>
    </font>
    <font>
      <b/>
      <sz val="12"/>
      <color rgb="FF960000"/>
      <name val="Arial CE"/>
      <family val="2"/>
      <charset val="238"/>
    </font>
    <font>
      <b/>
      <sz val="11"/>
      <color rgb="FF003366"/>
      <name val="Arial CE"/>
      <family val="2"/>
      <charset val="238"/>
    </font>
    <font>
      <sz val="11"/>
      <color rgb="FF003366"/>
      <name val="Arial CE"/>
      <family val="2"/>
      <charset val="238"/>
    </font>
    <font>
      <sz val="10"/>
      <color rgb="FF003366"/>
      <name val="Arial CE"/>
      <family val="2"/>
      <charset val="238"/>
    </font>
    <font>
      <b/>
      <sz val="10"/>
      <color rgb="FF003366"/>
      <name val="Arial CE"/>
      <family val="2"/>
      <charset val="238"/>
    </font>
    <font>
      <b/>
      <sz val="10"/>
      <color rgb="FF0070C0"/>
      <name val="Verdana"/>
      <family val="2"/>
      <charset val="238"/>
    </font>
    <font>
      <sz val="10"/>
      <color theme="1"/>
      <name val="Calibri "/>
      <charset val="238"/>
    </font>
    <font>
      <sz val="10"/>
      <name val="Calibri "/>
      <charset val="238"/>
    </font>
    <font>
      <i/>
      <sz val="10"/>
      <color theme="7" tint="-0.249977111117893"/>
      <name val="Calibri "/>
      <family val="2"/>
      <charset val="238"/>
    </font>
    <font>
      <sz val="10"/>
      <color theme="7" tint="-0.249977111117893"/>
      <name val="Calibri"/>
      <family val="2"/>
      <charset val="238"/>
    </font>
    <font>
      <i/>
      <sz val="10"/>
      <color theme="7" tint="-0.249977111117893"/>
      <name val="Calibri "/>
      <charset val="238"/>
    </font>
    <font>
      <sz val="8"/>
      <name val="MS Sans Serif"/>
      <family val="2"/>
      <charset val="1"/>
    </font>
    <font>
      <sz val="10"/>
      <color theme="7" tint="-0.249977111117893"/>
      <name val="Calibri "/>
      <charset val="238"/>
    </font>
    <font>
      <sz val="10"/>
      <color rgb="FF0070C0"/>
      <name val="Calibri "/>
      <charset val="238"/>
    </font>
    <font>
      <sz val="10"/>
      <color indexed="8"/>
      <name val="Calibri"/>
      <family val="2"/>
    </font>
    <font>
      <b/>
      <sz val="10"/>
      <color rgb="FFFF0000"/>
      <name val="Calibri "/>
      <charset val="238"/>
    </font>
    <font>
      <i/>
      <sz val="10"/>
      <color rgb="FF0070C0"/>
      <name val="Calibri "/>
      <charset val="238"/>
    </font>
    <font>
      <i/>
      <sz val="10"/>
      <color rgb="FF0070C0"/>
      <name val="Calibri "/>
      <family val="2"/>
      <charset val="238"/>
    </font>
    <font>
      <sz val="11"/>
      <color theme="1"/>
      <name val="Arial Narrow"/>
      <family val="2"/>
      <charset val="238"/>
    </font>
    <font>
      <sz val="11"/>
      <name val="Arial Narrow"/>
      <family val="2"/>
      <charset val="238"/>
    </font>
    <font>
      <i/>
      <sz val="10"/>
      <color theme="1"/>
      <name val="Verdana"/>
      <family val="2"/>
      <charset val="238"/>
    </font>
    <font>
      <i/>
      <sz val="10"/>
      <color rgb="FFFF0000"/>
      <name val="Calibri "/>
      <charset val="238"/>
    </font>
    <font>
      <sz val="10"/>
      <color rgb="FFFF0000"/>
      <name val="Calibri "/>
      <charset val="238"/>
    </font>
    <font>
      <b/>
      <sz val="10"/>
      <color rgb="FFFF0000"/>
      <name val="Verdana"/>
      <family val="2"/>
      <charset val="238"/>
    </font>
    <font>
      <u/>
      <sz val="10"/>
      <color theme="10"/>
      <name val="Verdana"/>
      <family val="2"/>
      <charset val="238"/>
    </font>
    <font>
      <u/>
      <sz val="10"/>
      <color theme="1"/>
      <name val="Calibri "/>
      <charset val="238"/>
    </font>
  </fonts>
  <fills count="5">
    <fill>
      <patternFill patternType="none"/>
    </fill>
    <fill>
      <patternFill patternType="gray125"/>
    </fill>
    <fill>
      <patternFill patternType="solid">
        <fgColor theme="0" tint="-0.249977111117893"/>
        <bgColor indexed="64"/>
      </patternFill>
    </fill>
    <fill>
      <patternFill patternType="solid">
        <fgColor rgb="FFD2D2D2"/>
      </patternFill>
    </fill>
    <fill>
      <patternFill patternType="solid">
        <fgColor theme="9" tint="0.59999389629810485"/>
        <bgColor indexed="64"/>
      </patternFill>
    </fill>
  </fills>
  <borders count="39">
    <border>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6">
    <xf numFmtId="0" fontId="0" fillId="0" borderId="0"/>
    <xf numFmtId="44" fontId="1" fillId="0" borderId="0" applyFont="0" applyFill="0" applyBorder="0" applyAlignment="0" applyProtection="0"/>
    <xf numFmtId="0" fontId="3" fillId="0" borderId="0"/>
    <xf numFmtId="0" fontId="23" fillId="0" borderId="0" applyAlignment="0">
      <protection locked="0"/>
    </xf>
    <xf numFmtId="0" fontId="26" fillId="0" borderId="0"/>
    <xf numFmtId="0" fontId="36" fillId="0" borderId="0" applyNumberFormat="0" applyFill="0" applyBorder="0" applyAlignment="0" applyProtection="0"/>
  </cellStyleXfs>
  <cellXfs count="270">
    <xf numFmtId="0" fontId="0" fillId="0" borderId="0" xfId="0"/>
    <xf numFmtId="0" fontId="0" fillId="0" borderId="0" xfId="0" applyFont="1" applyAlignment="1">
      <alignment vertical="center"/>
    </xf>
    <xf numFmtId="14" fontId="0" fillId="0" borderId="0" xfId="0" applyNumberFormat="1"/>
    <xf numFmtId="0" fontId="2" fillId="0" borderId="0" xfId="0" applyFont="1"/>
    <xf numFmtId="0" fontId="6" fillId="0" borderId="0" xfId="0" applyFont="1"/>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2" fillId="0" borderId="0" xfId="0" applyFont="1" applyAlignment="1">
      <alignment horizontal="lef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3" fillId="0" borderId="0" xfId="0" applyFont="1" applyAlignment="1">
      <alignment vertical="center" wrapText="1"/>
    </xf>
    <xf numFmtId="0" fontId="16" fillId="0" borderId="0" xfId="0" applyFont="1" applyAlignment="1">
      <alignment vertical="center"/>
    </xf>
    <xf numFmtId="0" fontId="11" fillId="3" borderId="14" xfId="0" applyFont="1" applyFill="1" applyBorder="1" applyAlignment="1">
      <alignment vertical="center"/>
    </xf>
    <xf numFmtId="0" fontId="11" fillId="3" borderId="15" xfId="0" applyFont="1" applyFill="1" applyBorder="1" applyAlignment="1">
      <alignment vertical="center"/>
    </xf>
    <xf numFmtId="4" fontId="12" fillId="0" borderId="0" xfId="0" applyNumberFormat="1" applyFont="1" applyAlignment="1">
      <alignment vertical="center"/>
    </xf>
    <xf numFmtId="4" fontId="15" fillId="0" borderId="0" xfId="0" applyNumberFormat="1" applyFont="1" applyAlignment="1">
      <alignment vertical="center"/>
    </xf>
    <xf numFmtId="0" fontId="16" fillId="0" borderId="0" xfId="0" applyFont="1" applyAlignment="1">
      <alignment vertical="center" wrapText="1"/>
    </xf>
    <xf numFmtId="14" fontId="0" fillId="0" borderId="0" xfId="0" applyNumberFormat="1" applyFont="1" applyAlignment="1">
      <alignment vertical="center"/>
    </xf>
    <xf numFmtId="0" fontId="17" fillId="0" borderId="0" xfId="0" applyFont="1"/>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8" xfId="0" applyFont="1" applyBorder="1" applyAlignment="1">
      <alignment vertical="center" wrapText="1"/>
    </xf>
    <xf numFmtId="0" fontId="19" fillId="0" borderId="18" xfId="0" applyFont="1" applyBorder="1" applyAlignment="1">
      <alignment horizontal="center" vertical="center"/>
    </xf>
    <xf numFmtId="164" fontId="18" fillId="0" borderId="18" xfId="0" applyNumberFormat="1" applyFont="1" applyBorder="1" applyAlignment="1">
      <alignment vertical="center"/>
    </xf>
    <xf numFmtId="165" fontId="18" fillId="0" borderId="18" xfId="0" applyNumberFormat="1" applyFont="1" applyBorder="1" applyAlignment="1" applyProtection="1">
      <alignment vertical="center"/>
      <protection locked="0"/>
    </xf>
    <xf numFmtId="165" fontId="18" fillId="0" borderId="19" xfId="0" applyNumberFormat="1" applyFont="1" applyBorder="1" applyAlignment="1">
      <alignment vertical="center"/>
    </xf>
    <xf numFmtId="0" fontId="18" fillId="0" borderId="16" xfId="0" applyFont="1" applyFill="1" applyBorder="1" applyAlignment="1">
      <alignment horizontal="center" vertical="center"/>
    </xf>
    <xf numFmtId="0" fontId="18" fillId="0" borderId="17"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8" xfId="0" applyFont="1" applyFill="1" applyBorder="1" applyAlignment="1">
      <alignment vertical="center" wrapText="1"/>
    </xf>
    <xf numFmtId="0" fontId="19" fillId="0" borderId="18" xfId="0" applyFont="1" applyFill="1" applyBorder="1" applyAlignment="1">
      <alignment horizontal="center" vertical="center"/>
    </xf>
    <xf numFmtId="164" fontId="18" fillId="0" borderId="18" xfId="0" applyNumberFormat="1" applyFont="1" applyFill="1" applyBorder="1" applyAlignment="1">
      <alignment vertical="center"/>
    </xf>
    <xf numFmtId="49" fontId="18" fillId="0" borderId="20" xfId="2" applyNumberFormat="1" applyFont="1" applyBorder="1" applyAlignment="1">
      <alignment horizontal="center" vertical="center"/>
    </xf>
    <xf numFmtId="49" fontId="18" fillId="0" borderId="0" xfId="2" applyNumberFormat="1" applyFont="1" applyBorder="1" applyAlignment="1">
      <alignment horizontal="center" vertical="center"/>
    </xf>
    <xf numFmtId="0" fontId="20" fillId="0" borderId="0" xfId="0" applyFont="1" applyBorder="1" applyAlignment="1">
      <alignment horizontal="left" vertical="center" wrapText="1"/>
    </xf>
    <xf numFmtId="0" fontId="19" fillId="0" borderId="0" xfId="3" applyFont="1" applyBorder="1" applyAlignment="1">
      <alignment horizontal="center" vertical="top" wrapText="1"/>
      <protection locked="0"/>
    </xf>
    <xf numFmtId="164" fontId="24" fillId="0" borderId="0" xfId="0" applyNumberFormat="1" applyFont="1" applyBorder="1" applyAlignment="1">
      <alignment vertical="center"/>
    </xf>
    <xf numFmtId="166" fontId="25" fillId="0" borderId="0" xfId="0" applyNumberFormat="1" applyFont="1" applyBorder="1" applyAlignment="1" applyProtection="1">
      <alignment vertical="top"/>
      <protection locked="0"/>
    </xf>
    <xf numFmtId="4" fontId="18" fillId="0" borderId="21" xfId="2" applyNumberFormat="1" applyFont="1" applyBorder="1" applyAlignment="1">
      <alignment horizontal="right" vertical="center"/>
    </xf>
    <xf numFmtId="165" fontId="18" fillId="0" borderId="18" xfId="0" applyNumberFormat="1" applyFont="1" applyFill="1" applyBorder="1" applyAlignment="1" applyProtection="1">
      <alignment vertical="center"/>
      <protection locked="0"/>
    </xf>
    <xf numFmtId="49" fontId="18" fillId="0" borderId="20" xfId="2" applyNumberFormat="1" applyFont="1" applyFill="1" applyBorder="1" applyAlignment="1">
      <alignment horizontal="center" vertical="center"/>
    </xf>
    <xf numFmtId="49" fontId="18" fillId="0" borderId="0" xfId="2" applyNumberFormat="1" applyFont="1" applyFill="1" applyBorder="1" applyAlignment="1">
      <alignment horizontal="center" vertical="center"/>
    </xf>
    <xf numFmtId="0" fontId="22" fillId="0" borderId="0" xfId="0" applyFont="1" applyFill="1" applyBorder="1" applyAlignment="1">
      <alignment horizontal="left" vertical="center" wrapText="1"/>
    </xf>
    <xf numFmtId="0" fontId="24" fillId="0" borderId="0" xfId="0" applyFont="1" applyFill="1" applyBorder="1" applyAlignment="1">
      <alignment horizontal="center" vertical="center"/>
    </xf>
    <xf numFmtId="164" fontId="24" fillId="0" borderId="0" xfId="0" applyNumberFormat="1" applyFont="1" applyFill="1" applyBorder="1" applyAlignment="1">
      <alignment vertical="center"/>
    </xf>
    <xf numFmtId="0" fontId="18" fillId="0" borderId="0" xfId="0" applyFont="1" applyFill="1" applyBorder="1" applyAlignment="1">
      <alignment vertical="center"/>
    </xf>
    <xf numFmtId="4" fontId="18" fillId="0" borderId="21" xfId="2" applyNumberFormat="1" applyFont="1" applyFill="1" applyBorder="1" applyAlignment="1">
      <alignment horizontal="right" vertical="center"/>
    </xf>
    <xf numFmtId="0" fontId="22" fillId="0" borderId="0" xfId="0" applyFont="1" applyBorder="1" applyAlignment="1">
      <alignment horizontal="left" vertical="center" wrapText="1"/>
    </xf>
    <xf numFmtId="0" fontId="18" fillId="0" borderId="16" xfId="0" applyFont="1" applyBorder="1" applyAlignment="1">
      <alignment horizontal="center" vertical="center" wrapText="1"/>
    </xf>
    <xf numFmtId="49" fontId="18" fillId="0" borderId="18" xfId="0" applyNumberFormat="1" applyFont="1" applyBorder="1" applyAlignment="1">
      <alignment horizontal="center" vertical="center" wrapText="1"/>
    </xf>
    <xf numFmtId="0" fontId="19" fillId="0" borderId="18" xfId="0" applyFont="1" applyBorder="1" applyAlignment="1">
      <alignment vertical="center" wrapText="1"/>
    </xf>
    <xf numFmtId="0" fontId="18" fillId="0" borderId="18" xfId="0" applyFont="1" applyBorder="1" applyAlignment="1">
      <alignment horizontal="center" vertical="center" wrapText="1"/>
    </xf>
    <xf numFmtId="164" fontId="18" fillId="0" borderId="18" xfId="0" applyNumberFormat="1" applyFont="1" applyBorder="1" applyAlignment="1">
      <alignment horizontal="right" vertical="center"/>
    </xf>
    <xf numFmtId="0" fontId="18" fillId="0" borderId="0" xfId="2" applyFont="1" applyBorder="1" applyAlignment="1">
      <alignment horizontal="center" vertical="center"/>
    </xf>
    <xf numFmtId="164" fontId="18" fillId="0" borderId="0" xfId="2" applyNumberFormat="1" applyFont="1" applyBorder="1" applyAlignment="1">
      <alignment horizontal="center" vertical="center"/>
    </xf>
    <xf numFmtId="4" fontId="18" fillId="0" borderId="0" xfId="2" applyNumberFormat="1" applyFont="1" applyBorder="1" applyAlignment="1">
      <alignment horizontal="right" vertical="center"/>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49" fontId="18" fillId="0" borderId="0" xfId="0" applyNumberFormat="1" applyFont="1" applyBorder="1" applyAlignment="1">
      <alignment horizontal="center" vertical="center" wrapText="1"/>
    </xf>
    <xf numFmtId="164" fontId="18" fillId="0" borderId="0" xfId="0" applyNumberFormat="1" applyFont="1" applyBorder="1" applyAlignment="1">
      <alignment horizontal="right" vertical="center"/>
    </xf>
    <xf numFmtId="165" fontId="18" fillId="0" borderId="0" xfId="0" applyNumberFormat="1" applyFont="1" applyBorder="1" applyAlignment="1" applyProtection="1">
      <alignment vertical="center"/>
      <protection locked="0"/>
    </xf>
    <xf numFmtId="165" fontId="18" fillId="0" borderId="21" xfId="0" applyNumberFormat="1" applyFont="1" applyBorder="1" applyAlignment="1">
      <alignment vertical="center"/>
    </xf>
    <xf numFmtId="164" fontId="22" fillId="0" borderId="0" xfId="0" applyNumberFormat="1" applyFont="1" applyBorder="1" applyAlignment="1">
      <alignment horizontal="right" vertical="center" wrapText="1"/>
    </xf>
    <xf numFmtId="0" fontId="18" fillId="0" borderId="17" xfId="0" applyFont="1" applyBorder="1" applyAlignment="1">
      <alignment horizontal="center" vertical="center" wrapText="1"/>
    </xf>
    <xf numFmtId="0" fontId="19" fillId="0" borderId="0" xfId="2" applyFont="1" applyBorder="1" applyAlignment="1">
      <alignment horizontal="center" vertical="center"/>
    </xf>
    <xf numFmtId="164" fontId="19" fillId="0" borderId="0" xfId="2" applyNumberFormat="1" applyFont="1" applyBorder="1" applyAlignment="1">
      <alignment vertical="center"/>
    </xf>
    <xf numFmtId="0" fontId="19" fillId="0" borderId="0" xfId="2" applyFont="1" applyBorder="1" applyAlignment="1">
      <alignment vertical="center"/>
    </xf>
    <xf numFmtId="0" fontId="19" fillId="0" borderId="21" xfId="2" applyFont="1" applyBorder="1" applyAlignment="1">
      <alignment vertical="center"/>
    </xf>
    <xf numFmtId="49" fontId="4" fillId="0" borderId="0" xfId="2" applyNumberFormat="1" applyFont="1" applyBorder="1" applyAlignment="1">
      <alignment horizontal="center" vertical="center"/>
    </xf>
    <xf numFmtId="0" fontId="18" fillId="0" borderId="18" xfId="0" applyFont="1" applyBorder="1" applyAlignment="1">
      <alignment horizontal="center" vertical="center"/>
    </xf>
    <xf numFmtId="0" fontId="18" fillId="0" borderId="18" xfId="0" applyFont="1" applyBorder="1" applyAlignment="1">
      <alignment vertical="center" wrapText="1"/>
    </xf>
    <xf numFmtId="0" fontId="24" fillId="0" borderId="0" xfId="0" applyFont="1" applyBorder="1" applyAlignment="1">
      <alignment horizontal="center" vertical="center"/>
    </xf>
    <xf numFmtId="0" fontId="18" fillId="0" borderId="0" xfId="0" applyFont="1" applyBorder="1" applyAlignment="1">
      <alignment vertical="center"/>
    </xf>
    <xf numFmtId="0" fontId="18" fillId="0" borderId="20" xfId="0" applyFont="1" applyFill="1" applyBorder="1" applyAlignment="1">
      <alignment horizontal="center" vertical="center"/>
    </xf>
    <xf numFmtId="0" fontId="18" fillId="0" borderId="0" xfId="0" applyFont="1" applyFill="1" applyBorder="1" applyAlignment="1">
      <alignment horizontal="center" vertical="center"/>
    </xf>
    <xf numFmtId="0" fontId="19" fillId="0" borderId="0" xfId="0" applyFont="1" applyFill="1" applyBorder="1" applyAlignment="1">
      <alignment horizontal="center" vertical="center"/>
    </xf>
    <xf numFmtId="164" fontId="18" fillId="0" borderId="0" xfId="0" applyNumberFormat="1" applyFont="1" applyFill="1" applyBorder="1" applyAlignment="1">
      <alignment vertical="center"/>
    </xf>
    <xf numFmtId="165" fontId="18" fillId="0" borderId="0" xfId="0" applyNumberFormat="1" applyFont="1" applyFill="1" applyBorder="1" applyAlignment="1" applyProtection="1">
      <alignment vertical="center"/>
      <protection locked="0"/>
    </xf>
    <xf numFmtId="49" fontId="4" fillId="2" borderId="4" xfId="2" applyNumberFormat="1" applyFont="1" applyFill="1" applyBorder="1" applyAlignment="1">
      <alignment horizontal="center" vertical="center" wrapText="1"/>
    </xf>
    <xf numFmtId="49" fontId="4" fillId="2" borderId="0" xfId="2" applyNumberFormat="1" applyFont="1" applyFill="1" applyBorder="1" applyAlignment="1">
      <alignment horizontal="center" vertical="center" wrapText="1"/>
    </xf>
    <xf numFmtId="49" fontId="5" fillId="2" borderId="0" xfId="2" applyNumberFormat="1" applyFont="1" applyFill="1" applyBorder="1" applyAlignment="1">
      <alignment horizontal="left" vertical="center" wrapText="1"/>
    </xf>
    <xf numFmtId="0" fontId="5" fillId="2" borderId="0" xfId="2" applyFont="1" applyFill="1" applyBorder="1" applyAlignment="1">
      <alignment horizontal="center" vertical="center"/>
    </xf>
    <xf numFmtId="3" fontId="5" fillId="2" borderId="0" xfId="2" applyNumberFormat="1" applyFont="1" applyFill="1" applyBorder="1" applyAlignment="1">
      <alignment horizontal="center" vertical="center"/>
    </xf>
    <xf numFmtId="3" fontId="5" fillId="2" borderId="21" xfId="2" applyNumberFormat="1" applyFont="1" applyFill="1" applyBorder="1" applyAlignment="1">
      <alignment horizontal="center" vertical="center" wrapText="1"/>
    </xf>
    <xf numFmtId="0" fontId="18" fillId="0" borderId="20"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164" fontId="18" fillId="0" borderId="0" xfId="0" applyNumberFormat="1" applyFont="1" applyBorder="1" applyAlignment="1">
      <alignment vertical="center"/>
    </xf>
    <xf numFmtId="0" fontId="5" fillId="0" borderId="0" xfId="0" applyFont="1" applyBorder="1" applyAlignment="1">
      <alignment vertical="center" wrapText="1"/>
    </xf>
    <xf numFmtId="0" fontId="19" fillId="0" borderId="0" xfId="0" applyFont="1" applyBorder="1" applyAlignment="1">
      <alignment horizontal="center" wrapText="1"/>
    </xf>
    <xf numFmtId="164" fontId="19" fillId="0" borderId="0" xfId="0" applyNumberFormat="1" applyFont="1" applyBorder="1" applyAlignment="1">
      <alignment wrapText="1"/>
    </xf>
    <xf numFmtId="166" fontId="5" fillId="0" borderId="0" xfId="0" applyNumberFormat="1" applyFont="1" applyBorder="1" applyAlignment="1" applyProtection="1">
      <alignment vertical="top"/>
      <protection locked="0"/>
    </xf>
    <xf numFmtId="168" fontId="18" fillId="0" borderId="0" xfId="0" applyNumberFormat="1" applyFont="1" applyBorder="1" applyAlignment="1">
      <alignment horizontal="center" vertical="top"/>
    </xf>
    <xf numFmtId="0" fontId="18" fillId="0" borderId="20" xfId="0" applyFont="1" applyBorder="1" applyAlignment="1">
      <alignment vertical="center"/>
    </xf>
    <xf numFmtId="0" fontId="18" fillId="0" borderId="21" xfId="0" applyFont="1" applyBorder="1" applyAlignment="1">
      <alignment vertical="center"/>
    </xf>
    <xf numFmtId="49" fontId="18" fillId="0" borderId="20" xfId="2" applyNumberFormat="1" applyFont="1" applyBorder="1" applyAlignment="1">
      <alignment vertical="center"/>
    </xf>
    <xf numFmtId="49" fontId="18" fillId="0" borderId="0" xfId="2" applyNumberFormat="1" applyFont="1" applyBorder="1" applyAlignment="1">
      <alignment vertical="center"/>
    </xf>
    <xf numFmtId="164" fontId="18" fillId="0" borderId="0" xfId="0" applyNumberFormat="1" applyFont="1" applyFill="1" applyBorder="1" applyAlignment="1">
      <alignment horizontal="right" vertical="center"/>
    </xf>
    <xf numFmtId="49" fontId="18" fillId="0" borderId="0" xfId="2" applyNumberFormat="1" applyFont="1" applyBorder="1" applyAlignment="1">
      <alignment horizontal="left" vertical="center" wrapText="1"/>
    </xf>
    <xf numFmtId="165" fontId="18" fillId="0" borderId="19" xfId="0" applyNumberFormat="1" applyFont="1" applyFill="1" applyBorder="1" applyAlignment="1">
      <alignment vertical="center"/>
    </xf>
    <xf numFmtId="49" fontId="18" fillId="0" borderId="22" xfId="2" applyNumberFormat="1" applyFont="1" applyBorder="1" applyAlignment="1">
      <alignment horizontal="center" vertical="center"/>
    </xf>
    <xf numFmtId="49" fontId="18" fillId="0" borderId="23" xfId="2" applyNumberFormat="1" applyFont="1" applyBorder="1" applyAlignment="1">
      <alignment horizontal="center" vertical="center"/>
    </xf>
    <xf numFmtId="0" fontId="22" fillId="0" borderId="23" xfId="0" applyFont="1" applyBorder="1" applyAlignment="1">
      <alignment horizontal="left" vertical="center" wrapText="1"/>
    </xf>
    <xf numFmtId="4" fontId="18" fillId="0" borderId="24" xfId="2" applyNumberFormat="1" applyFont="1" applyBorder="1" applyAlignment="1">
      <alignment horizontal="right" vertical="center"/>
    </xf>
    <xf numFmtId="49" fontId="18" fillId="0" borderId="0" xfId="2" applyNumberFormat="1" applyFont="1" applyAlignment="1">
      <alignment vertical="center"/>
    </xf>
    <xf numFmtId="4" fontId="27" fillId="0" borderId="0" xfId="2" applyNumberFormat="1" applyFont="1" applyAlignment="1">
      <alignment vertical="center"/>
    </xf>
    <xf numFmtId="0" fontId="19" fillId="0" borderId="0" xfId="2" applyFont="1" applyAlignment="1">
      <alignment horizontal="center" vertical="center"/>
    </xf>
    <xf numFmtId="164" fontId="19" fillId="0" borderId="0" xfId="2" applyNumberFormat="1" applyFont="1" applyAlignment="1">
      <alignment horizontal="center" vertical="center"/>
    </xf>
    <xf numFmtId="4" fontId="19" fillId="0" borderId="0" xfId="2" applyNumberFormat="1" applyFont="1" applyAlignment="1">
      <alignment vertical="center"/>
    </xf>
    <xf numFmtId="44" fontId="27" fillId="0" borderId="0" xfId="1" applyFont="1" applyAlignment="1">
      <alignment vertical="center"/>
    </xf>
    <xf numFmtId="167" fontId="24" fillId="0" borderId="0" xfId="0" applyNumberFormat="1" applyFont="1" applyFill="1" applyBorder="1" applyAlignment="1">
      <alignment vertical="center"/>
    </xf>
    <xf numFmtId="167" fontId="22" fillId="0" borderId="0" xfId="0" applyNumberFormat="1" applyFont="1" applyBorder="1" applyAlignment="1">
      <alignment horizontal="right" vertical="center" wrapText="1"/>
    </xf>
    <xf numFmtId="0" fontId="29" fillId="0" borderId="0" xfId="0" applyFont="1" applyBorder="1" applyAlignment="1">
      <alignment horizontal="left" vertical="center" wrapText="1"/>
    </xf>
    <xf numFmtId="0" fontId="28" fillId="0" borderId="0" xfId="0" applyFont="1" applyBorder="1" applyAlignment="1">
      <alignment horizontal="left" vertical="center" wrapText="1"/>
    </xf>
    <xf numFmtId="168" fontId="18" fillId="0" borderId="23" xfId="0" applyNumberFormat="1" applyFont="1" applyBorder="1" applyAlignment="1">
      <alignment horizontal="center" vertical="top"/>
    </xf>
    <xf numFmtId="164" fontId="22" fillId="0" borderId="23" xfId="0" applyNumberFormat="1" applyFont="1" applyBorder="1" applyAlignment="1">
      <alignment horizontal="right" vertical="center" wrapText="1"/>
    </xf>
    <xf numFmtId="0" fontId="18" fillId="0" borderId="23" xfId="0" applyFont="1" applyBorder="1" applyAlignment="1">
      <alignment vertical="center"/>
    </xf>
    <xf numFmtId="167" fontId="18" fillId="0" borderId="0" xfId="0" applyNumberFormat="1" applyFont="1" applyBorder="1" applyAlignment="1">
      <alignment horizontal="right" vertical="center"/>
    </xf>
    <xf numFmtId="167" fontId="24" fillId="0" borderId="0" xfId="0" applyNumberFormat="1" applyFont="1" applyBorder="1" applyAlignment="1">
      <alignment vertical="center"/>
    </xf>
    <xf numFmtId="167" fontId="18" fillId="0" borderId="18" xfId="0" applyNumberFormat="1" applyFont="1" applyBorder="1" applyAlignment="1">
      <alignment vertical="center"/>
    </xf>
    <xf numFmtId="167" fontId="22" fillId="0" borderId="23" xfId="0" applyNumberFormat="1" applyFont="1" applyBorder="1" applyAlignment="1">
      <alignment horizontal="right" vertical="center" wrapText="1"/>
    </xf>
    <xf numFmtId="49" fontId="30" fillId="0" borderId="0" xfId="2" applyNumberFormat="1" applyFont="1" applyAlignment="1">
      <alignment vertical="center"/>
    </xf>
    <xf numFmtId="49" fontId="31" fillId="0" borderId="0" xfId="2" applyNumberFormat="1" applyFont="1" applyAlignment="1">
      <alignment vertical="center" wrapText="1"/>
    </xf>
    <xf numFmtId="0" fontId="31" fillId="0" borderId="0" xfId="2" applyFont="1" applyAlignment="1">
      <alignment horizontal="center" vertical="center"/>
    </xf>
    <xf numFmtId="164" fontId="31" fillId="0" borderId="0" xfId="2" applyNumberFormat="1" applyFont="1" applyAlignment="1">
      <alignment horizontal="center" vertical="center"/>
    </xf>
    <xf numFmtId="4" fontId="31" fillId="0" borderId="0" xfId="2" applyNumberFormat="1" applyFont="1" applyAlignment="1">
      <alignment vertical="center"/>
    </xf>
    <xf numFmtId="164" fontId="22" fillId="0" borderId="0" xfId="0" applyNumberFormat="1" applyFont="1" applyBorder="1" applyAlignment="1">
      <alignment vertical="center"/>
    </xf>
    <xf numFmtId="164" fontId="22" fillId="0" borderId="0" xfId="0" applyNumberFormat="1" applyFont="1" applyFill="1" applyBorder="1" applyAlignment="1">
      <alignment vertical="center"/>
    </xf>
    <xf numFmtId="167" fontId="22" fillId="0" borderId="0" xfId="0" applyNumberFormat="1" applyFont="1" applyFill="1" applyBorder="1" applyAlignment="1">
      <alignment vertical="center"/>
    </xf>
    <xf numFmtId="0" fontId="33" fillId="0" borderId="0" xfId="0" applyFont="1" applyFill="1" applyBorder="1" applyAlignment="1">
      <alignment horizontal="left" vertical="center" wrapText="1"/>
    </xf>
    <xf numFmtId="0" fontId="34" fillId="0" borderId="0" xfId="3" applyFont="1" applyBorder="1" applyAlignment="1">
      <alignment horizontal="center" vertical="top" wrapText="1"/>
      <protection locked="0"/>
    </xf>
    <xf numFmtId="164" fontId="33" fillId="0" borderId="0" xfId="0" applyNumberFormat="1" applyFont="1" applyBorder="1" applyAlignment="1">
      <alignment vertical="center"/>
    </xf>
    <xf numFmtId="0" fontId="34" fillId="0" borderId="0" xfId="0" applyFont="1" applyFill="1" applyBorder="1" applyAlignment="1">
      <alignment horizontal="center" vertical="center"/>
    </xf>
    <xf numFmtId="164" fontId="33" fillId="0" borderId="0" xfId="0" applyNumberFormat="1" applyFont="1" applyFill="1" applyBorder="1" applyAlignment="1">
      <alignment vertical="center"/>
    </xf>
    <xf numFmtId="4" fontId="13" fillId="0" borderId="0" xfId="0" applyNumberFormat="1" applyFont="1" applyAlignment="1">
      <alignment vertical="center"/>
    </xf>
    <xf numFmtId="0" fontId="19" fillId="0" borderId="0" xfId="0" applyFont="1" applyBorder="1" applyAlignment="1">
      <alignment vertical="center" wrapText="1"/>
    </xf>
    <xf numFmtId="49" fontId="18" fillId="2" borderId="20" xfId="2" applyNumberFormat="1" applyFont="1" applyFill="1" applyBorder="1" applyAlignment="1">
      <alignment horizontal="center" vertical="center"/>
    </xf>
    <xf numFmtId="49" fontId="18" fillId="2" borderId="0" xfId="2" applyNumberFormat="1" applyFont="1" applyFill="1" applyBorder="1" applyAlignment="1">
      <alignment horizontal="center" vertical="center"/>
    </xf>
    <xf numFmtId="49" fontId="4" fillId="2" borderId="0" xfId="2" applyNumberFormat="1" applyFont="1" applyFill="1" applyBorder="1" applyAlignment="1">
      <alignment horizontal="center" vertical="center"/>
    </xf>
    <xf numFmtId="49" fontId="4" fillId="2" borderId="0" xfId="4" applyNumberFormat="1" applyFont="1" applyFill="1" applyBorder="1" applyAlignment="1">
      <alignment horizontal="left" vertical="center" wrapText="1"/>
    </xf>
    <xf numFmtId="0" fontId="18" fillId="2" borderId="0" xfId="2" applyFont="1" applyFill="1" applyBorder="1" applyAlignment="1">
      <alignment horizontal="center" vertical="center"/>
    </xf>
    <xf numFmtId="164" fontId="18" fillId="2" borderId="0" xfId="2" applyNumberFormat="1" applyFont="1" applyFill="1" applyBorder="1" applyAlignment="1">
      <alignment horizontal="center" vertical="center"/>
    </xf>
    <xf numFmtId="4" fontId="18" fillId="2" borderId="0" xfId="2" applyNumberFormat="1" applyFont="1" applyFill="1" applyBorder="1" applyAlignment="1">
      <alignment horizontal="right" vertical="center"/>
    </xf>
    <xf numFmtId="4" fontId="18" fillId="2" borderId="21" xfId="2" applyNumberFormat="1" applyFont="1" applyFill="1" applyBorder="1" applyAlignment="1">
      <alignment horizontal="right" vertical="center"/>
    </xf>
    <xf numFmtId="0" fontId="24" fillId="2" borderId="0" xfId="0" applyFont="1" applyFill="1" applyBorder="1" applyAlignment="1">
      <alignment horizontal="center" vertical="center"/>
    </xf>
    <xf numFmtId="164" fontId="24" fillId="2" borderId="0" xfId="0" applyNumberFormat="1" applyFont="1" applyFill="1" applyBorder="1" applyAlignment="1">
      <alignment vertical="center"/>
    </xf>
    <xf numFmtId="0" fontId="18" fillId="2" borderId="0" xfId="0" applyFont="1" applyFill="1" applyBorder="1" applyAlignment="1">
      <alignment vertical="center"/>
    </xf>
    <xf numFmtId="49" fontId="18" fillId="2" borderId="20" xfId="2" applyNumberFormat="1" applyFont="1" applyFill="1" applyBorder="1" applyAlignment="1">
      <alignment vertical="center"/>
    </xf>
    <xf numFmtId="49" fontId="18" fillId="2" borderId="0" xfId="2" applyNumberFormat="1" applyFont="1" applyFill="1" applyBorder="1" applyAlignment="1">
      <alignment vertical="center"/>
    </xf>
    <xf numFmtId="0" fontId="19" fillId="2" borderId="0" xfId="2" applyFont="1" applyFill="1" applyBorder="1" applyAlignment="1">
      <alignment horizontal="center" vertical="center"/>
    </xf>
    <xf numFmtId="164" fontId="19" fillId="2" borderId="0" xfId="2" applyNumberFormat="1" applyFont="1" applyFill="1" applyBorder="1" applyAlignment="1">
      <alignment horizontal="center" vertical="center"/>
    </xf>
    <xf numFmtId="166" fontId="25" fillId="2" borderId="0" xfId="0" applyNumberFormat="1" applyFont="1" applyFill="1" applyBorder="1" applyAlignment="1" applyProtection="1">
      <alignment vertical="top"/>
      <protection locked="0"/>
    </xf>
    <xf numFmtId="4" fontId="19" fillId="2" borderId="21" xfId="2" applyNumberFormat="1" applyFont="1" applyFill="1" applyBorder="1" applyAlignment="1">
      <alignment vertical="center"/>
    </xf>
    <xf numFmtId="49" fontId="4" fillId="2" borderId="0" xfId="2" applyNumberFormat="1" applyFont="1" applyFill="1" applyBorder="1" applyAlignment="1">
      <alignment horizontal="left" vertical="center" wrapText="1"/>
    </xf>
    <xf numFmtId="164" fontId="33" fillId="0" borderId="23" xfId="0" applyNumberFormat="1" applyFont="1" applyBorder="1" applyAlignment="1">
      <alignment vertical="center"/>
    </xf>
    <xf numFmtId="49" fontId="18" fillId="2" borderId="25" xfId="2" applyNumberFormat="1" applyFont="1" applyFill="1" applyBorder="1" applyAlignment="1">
      <alignment horizontal="center" vertical="center"/>
    </xf>
    <xf numFmtId="49" fontId="18" fillId="2" borderId="26" xfId="2" applyNumberFormat="1" applyFont="1" applyFill="1" applyBorder="1" applyAlignment="1">
      <alignment horizontal="center" vertical="center"/>
    </xf>
    <xf numFmtId="49" fontId="4" fillId="2" borderId="26" xfId="2" applyNumberFormat="1" applyFont="1" applyFill="1" applyBorder="1" applyAlignment="1">
      <alignment horizontal="center" vertical="center"/>
    </xf>
    <xf numFmtId="49" fontId="4" fillId="2" borderId="26" xfId="2" applyNumberFormat="1" applyFont="1" applyFill="1" applyBorder="1" applyAlignment="1">
      <alignment horizontal="left" vertical="center" wrapText="1"/>
    </xf>
    <xf numFmtId="0" fontId="18" fillId="2" borderId="26" xfId="2" applyFont="1" applyFill="1" applyBorder="1" applyAlignment="1">
      <alignment horizontal="center" vertical="center"/>
    </xf>
    <xf numFmtId="164" fontId="18" fillId="2" borderId="26" xfId="2" applyNumberFormat="1" applyFont="1" applyFill="1" applyBorder="1" applyAlignment="1">
      <alignment horizontal="center" vertical="center"/>
    </xf>
    <xf numFmtId="4" fontId="18" fillId="2" borderId="26" xfId="2" applyNumberFormat="1" applyFont="1" applyFill="1" applyBorder="1" applyAlignment="1">
      <alignment horizontal="right" vertical="center"/>
    </xf>
    <xf numFmtId="4" fontId="18" fillId="2" borderId="27" xfId="2" applyNumberFormat="1" applyFont="1" applyFill="1" applyBorder="1" applyAlignment="1">
      <alignment horizontal="right" vertical="center"/>
    </xf>
    <xf numFmtId="0" fontId="18" fillId="4" borderId="16" xfId="0" applyFont="1" applyFill="1" applyBorder="1" applyAlignment="1">
      <alignment horizontal="center" vertical="center"/>
    </xf>
    <xf numFmtId="0" fontId="18" fillId="4" borderId="17" xfId="0" applyFont="1" applyFill="1" applyBorder="1" applyAlignment="1">
      <alignment horizontal="center" vertical="center"/>
    </xf>
    <xf numFmtId="0" fontId="18" fillId="4" borderId="18" xfId="0" applyFont="1" applyFill="1" applyBorder="1" applyAlignment="1">
      <alignment horizontal="center" vertical="center"/>
    </xf>
    <xf numFmtId="0" fontId="18" fillId="4" borderId="18" xfId="0" applyFont="1" applyFill="1" applyBorder="1" applyAlignment="1">
      <alignment vertical="center" wrapText="1"/>
    </xf>
    <xf numFmtId="0" fontId="19" fillId="4" borderId="18" xfId="0" applyFont="1" applyFill="1" applyBorder="1" applyAlignment="1">
      <alignment horizontal="center" vertical="center"/>
    </xf>
    <xf numFmtId="164" fontId="18" fillId="4" borderId="18" xfId="0" applyNumberFormat="1" applyFont="1" applyFill="1" applyBorder="1" applyAlignment="1">
      <alignment vertical="center"/>
    </xf>
    <xf numFmtId="165" fontId="18" fillId="4" borderId="18" xfId="0" applyNumberFormat="1" applyFont="1" applyFill="1" applyBorder="1" applyAlignment="1" applyProtection="1">
      <alignment vertical="center"/>
      <protection locked="0"/>
    </xf>
    <xf numFmtId="165" fontId="18" fillId="4" borderId="19" xfId="0" applyNumberFormat="1" applyFont="1" applyFill="1" applyBorder="1" applyAlignment="1">
      <alignment vertical="center"/>
    </xf>
    <xf numFmtId="0" fontId="18" fillId="4" borderId="16"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9" fillId="4" borderId="18" xfId="0" applyFont="1" applyFill="1" applyBorder="1" applyAlignment="1">
      <alignment vertical="center" wrapText="1"/>
    </xf>
    <xf numFmtId="164" fontId="18" fillId="4" borderId="18" xfId="0" applyNumberFormat="1" applyFont="1" applyFill="1" applyBorder="1" applyAlignment="1">
      <alignment horizontal="right" vertical="center"/>
    </xf>
    <xf numFmtId="0" fontId="18" fillId="4" borderId="17" xfId="0" applyFont="1" applyFill="1" applyBorder="1" applyAlignment="1">
      <alignment horizontal="center" vertical="center" wrapText="1"/>
    </xf>
    <xf numFmtId="0" fontId="30" fillId="0" borderId="0" xfId="2" applyFont="1" applyBorder="1" applyAlignment="1">
      <alignment vertical="center"/>
    </xf>
    <xf numFmtId="0" fontId="24" fillId="0" borderId="23" xfId="0" applyFont="1" applyFill="1" applyBorder="1" applyAlignment="1">
      <alignment horizontal="center" vertical="center"/>
    </xf>
    <xf numFmtId="4" fontId="4" fillId="0" borderId="21" xfId="2" applyNumberFormat="1" applyFont="1" applyBorder="1" applyAlignment="1">
      <alignment horizontal="right" vertical="center"/>
    </xf>
    <xf numFmtId="4" fontId="35" fillId="0" borderId="0" xfId="0" applyNumberFormat="1" applyFont="1"/>
    <xf numFmtId="0" fontId="35" fillId="0" borderId="0" xfId="0" applyFont="1"/>
    <xf numFmtId="165" fontId="35" fillId="0" borderId="0" xfId="0" applyNumberFormat="1" applyFont="1"/>
    <xf numFmtId="49" fontId="22" fillId="0" borderId="0" xfId="0" applyNumberFormat="1" applyFont="1" applyBorder="1" applyAlignment="1">
      <alignment horizontal="left" vertical="center" wrapText="1"/>
    </xf>
    <xf numFmtId="0" fontId="18" fillId="0" borderId="29" xfId="0" applyFont="1" applyBorder="1" applyAlignment="1">
      <alignment vertical="center" wrapText="1"/>
    </xf>
    <xf numFmtId="0" fontId="22" fillId="0" borderId="28" xfId="0" applyFont="1" applyBorder="1" applyAlignment="1">
      <alignment horizontal="left" vertical="center" wrapText="1"/>
    </xf>
    <xf numFmtId="0" fontId="18" fillId="0" borderId="22" xfId="0" applyFont="1" applyBorder="1" applyAlignment="1">
      <alignment horizontal="center" vertical="center"/>
    </xf>
    <xf numFmtId="0" fontId="18" fillId="0" borderId="23" xfId="0" applyFont="1" applyFill="1" applyBorder="1" applyAlignment="1">
      <alignment horizontal="center" vertical="center"/>
    </xf>
    <xf numFmtId="0" fontId="18" fillId="0" borderId="23" xfId="0" applyFont="1" applyBorder="1" applyAlignment="1">
      <alignment horizontal="center" vertical="center"/>
    </xf>
    <xf numFmtId="165" fontId="18" fillId="0" borderId="23" xfId="0" applyNumberFormat="1" applyFont="1" applyFill="1" applyBorder="1" applyAlignment="1" applyProtection="1">
      <alignment vertical="center"/>
      <protection locked="0"/>
    </xf>
    <xf numFmtId="165" fontId="18" fillId="0" borderId="24" xfId="0" applyNumberFormat="1" applyFont="1" applyBorder="1" applyAlignment="1">
      <alignment vertical="center"/>
    </xf>
    <xf numFmtId="0" fontId="18" fillId="0" borderId="30" xfId="0" applyFont="1" applyBorder="1" applyAlignment="1">
      <alignment horizontal="center" vertical="center" wrapText="1"/>
    </xf>
    <xf numFmtId="0" fontId="18" fillId="0" borderId="31" xfId="0" applyFont="1" applyFill="1" applyBorder="1" applyAlignment="1">
      <alignment horizontal="center" vertical="center"/>
    </xf>
    <xf numFmtId="0" fontId="18" fillId="0" borderId="29" xfId="0" applyFont="1" applyBorder="1" applyAlignment="1">
      <alignment horizontal="center" vertical="center" wrapText="1"/>
    </xf>
    <xf numFmtId="0" fontId="19" fillId="0" borderId="29" xfId="0" applyFont="1" applyBorder="1" applyAlignment="1">
      <alignment vertical="center" wrapText="1"/>
    </xf>
    <xf numFmtId="164" fontId="18" fillId="0" borderId="29" xfId="0" applyNumberFormat="1" applyFont="1" applyBorder="1" applyAlignment="1">
      <alignment horizontal="right" vertical="center"/>
    </xf>
    <xf numFmtId="165" fontId="18" fillId="0" borderId="29" xfId="0" applyNumberFormat="1" applyFont="1" applyFill="1" applyBorder="1" applyAlignment="1" applyProtection="1">
      <alignment vertical="center"/>
      <protection locked="0"/>
    </xf>
    <xf numFmtId="165" fontId="18" fillId="0" borderId="32" xfId="0" applyNumberFormat="1" applyFont="1" applyBorder="1" applyAlignment="1">
      <alignment vertical="center"/>
    </xf>
    <xf numFmtId="0" fontId="18" fillId="0" borderId="28" xfId="0" applyFont="1" applyBorder="1" applyAlignment="1">
      <alignment horizontal="center" vertical="center" wrapText="1"/>
    </xf>
    <xf numFmtId="0" fontId="18" fillId="0" borderId="28" xfId="0" applyFont="1" applyFill="1" applyBorder="1" applyAlignment="1">
      <alignment horizontal="center" vertical="center"/>
    </xf>
    <xf numFmtId="49" fontId="18" fillId="0" borderId="28" xfId="0" applyNumberFormat="1" applyFont="1" applyBorder="1" applyAlignment="1">
      <alignment horizontal="center" vertical="center" wrapText="1"/>
    </xf>
    <xf numFmtId="164" fontId="18" fillId="0" borderId="28" xfId="0" applyNumberFormat="1" applyFont="1" applyBorder="1" applyAlignment="1">
      <alignment horizontal="right" vertical="center"/>
    </xf>
    <xf numFmtId="165" fontId="18" fillId="0" borderId="28" xfId="0" applyNumberFormat="1" applyFont="1" applyBorder="1" applyAlignment="1" applyProtection="1">
      <alignment vertical="center"/>
      <protection locked="0"/>
    </xf>
    <xf numFmtId="0" fontId="18" fillId="0" borderId="33" xfId="0" applyFont="1" applyBorder="1" applyAlignment="1">
      <alignment horizontal="center" vertical="center" wrapText="1"/>
    </xf>
    <xf numFmtId="165" fontId="18" fillId="0" borderId="34" xfId="0" applyNumberFormat="1" applyFont="1" applyBorder="1" applyAlignment="1">
      <alignment vertical="center"/>
    </xf>
    <xf numFmtId="0" fontId="0" fillId="0" borderId="20" xfId="0" applyBorder="1"/>
    <xf numFmtId="0" fontId="0" fillId="0" borderId="0" xfId="0" applyBorder="1"/>
    <xf numFmtId="0" fontId="0" fillId="0" borderId="21" xfId="0" applyBorder="1"/>
    <xf numFmtId="0" fontId="0" fillId="0" borderId="22" xfId="0" applyBorder="1"/>
    <xf numFmtId="0" fontId="0" fillId="0" borderId="23" xfId="0" applyBorder="1"/>
    <xf numFmtId="0" fontId="0" fillId="0" borderId="24" xfId="0" applyBorder="1"/>
    <xf numFmtId="0" fontId="32" fillId="0" borderId="0" xfId="0" applyFont="1" applyBorder="1"/>
    <xf numFmtId="0" fontId="33" fillId="0" borderId="0" xfId="0" applyFont="1" applyBorder="1" applyAlignment="1">
      <alignment horizontal="left" vertical="center" wrapText="1"/>
    </xf>
    <xf numFmtId="0" fontId="18" fillId="0" borderId="35" xfId="0" applyFont="1" applyBorder="1" applyAlignment="1">
      <alignment horizontal="center" vertical="center"/>
    </xf>
    <xf numFmtId="0" fontId="18" fillId="0" borderId="36" xfId="0" applyFont="1" applyBorder="1" applyAlignment="1">
      <alignment horizontal="center" vertical="center"/>
    </xf>
    <xf numFmtId="0" fontId="4" fillId="0" borderId="37" xfId="0" applyFont="1" applyBorder="1" applyAlignment="1">
      <alignment horizontal="center" vertical="center"/>
    </xf>
    <xf numFmtId="0" fontId="4" fillId="0" borderId="37" xfId="0" applyFont="1" applyBorder="1" applyAlignment="1">
      <alignment vertical="center" wrapText="1"/>
    </xf>
    <xf numFmtId="0" fontId="19" fillId="0" borderId="37" xfId="0" applyFont="1" applyBorder="1" applyAlignment="1">
      <alignment horizontal="center" vertical="center"/>
    </xf>
    <xf numFmtId="164" fontId="18" fillId="0" borderId="37" xfId="0" applyNumberFormat="1" applyFont="1" applyBorder="1" applyAlignment="1">
      <alignment vertical="center"/>
    </xf>
    <xf numFmtId="165" fontId="18" fillId="0" borderId="37" xfId="0" applyNumberFormat="1" applyFont="1" applyBorder="1" applyAlignment="1" applyProtection="1">
      <alignment vertical="center"/>
      <protection locked="0"/>
    </xf>
    <xf numFmtId="165" fontId="18" fillId="0" borderId="38" xfId="0" applyNumberFormat="1" applyFont="1" applyBorder="1" applyAlignment="1">
      <alignment vertical="center"/>
    </xf>
    <xf numFmtId="0" fontId="33" fillId="0" borderId="23" xfId="0" applyFont="1" applyFill="1" applyBorder="1" applyAlignment="1">
      <alignment horizontal="left" vertical="center" wrapText="1"/>
    </xf>
    <xf numFmtId="0" fontId="34" fillId="0" borderId="23" xfId="3" applyFont="1" applyBorder="1" applyAlignment="1">
      <alignment horizontal="center" vertical="top" wrapText="1"/>
      <protection locked="0"/>
    </xf>
    <xf numFmtId="0" fontId="36" fillId="0" borderId="0" xfId="5" applyAlignment="1">
      <alignment vertical="center"/>
    </xf>
    <xf numFmtId="44" fontId="0" fillId="0" borderId="0" xfId="1" applyFont="1"/>
    <xf numFmtId="0" fontId="18" fillId="0" borderId="35" xfId="0" applyFont="1" applyBorder="1" applyAlignment="1">
      <alignment horizontal="center" vertical="center" wrapText="1"/>
    </xf>
    <xf numFmtId="0" fontId="18" fillId="0" borderId="36" xfId="0" applyFont="1" applyFill="1" applyBorder="1" applyAlignment="1">
      <alignment horizontal="center" vertical="center"/>
    </xf>
    <xf numFmtId="49" fontId="18" fillId="0" borderId="37" xfId="0" applyNumberFormat="1" applyFont="1" applyBorder="1" applyAlignment="1">
      <alignment horizontal="center" vertical="center" wrapText="1"/>
    </xf>
    <xf numFmtId="0" fontId="19" fillId="0" borderId="37" xfId="0" applyFont="1" applyBorder="1" applyAlignment="1">
      <alignment vertical="center" wrapText="1"/>
    </xf>
    <xf numFmtId="0" fontId="18" fillId="0" borderId="37" xfId="0" applyFont="1" applyBorder="1" applyAlignment="1">
      <alignment horizontal="center" vertical="center" wrapText="1"/>
    </xf>
    <xf numFmtId="164" fontId="18" fillId="0" borderId="37" xfId="0" applyNumberFormat="1" applyFont="1" applyBorder="1" applyAlignment="1">
      <alignment horizontal="right" vertical="center"/>
    </xf>
    <xf numFmtId="0" fontId="18" fillId="0" borderId="22" xfId="0" applyFont="1" applyBorder="1" applyAlignment="1">
      <alignment horizontal="center" vertical="center" wrapText="1"/>
    </xf>
    <xf numFmtId="49" fontId="18" fillId="0" borderId="23" xfId="0" applyNumberFormat="1" applyFont="1" applyBorder="1" applyAlignment="1">
      <alignment horizontal="center" vertical="center" wrapText="1"/>
    </xf>
    <xf numFmtId="0" fontId="18" fillId="0" borderId="23" xfId="0" applyFont="1" applyBorder="1" applyAlignment="1">
      <alignment horizontal="center" vertical="center" wrapText="1"/>
    </xf>
    <xf numFmtId="164" fontId="18" fillId="0" borderId="23" xfId="0" applyNumberFormat="1" applyFont="1" applyBorder="1" applyAlignment="1">
      <alignment horizontal="right" vertical="center"/>
    </xf>
    <xf numFmtId="165" fontId="18" fillId="0" borderId="23" xfId="0" applyNumberFormat="1" applyFont="1" applyBorder="1" applyAlignment="1" applyProtection="1">
      <alignment vertical="center"/>
      <protection locked="0"/>
    </xf>
    <xf numFmtId="165" fontId="18" fillId="0" borderId="29" xfId="0" applyNumberFormat="1" applyFont="1" applyBorder="1" applyAlignment="1" applyProtection="1">
      <alignment vertical="center"/>
      <protection locked="0"/>
    </xf>
    <xf numFmtId="4" fontId="18" fillId="0" borderId="28" xfId="2" applyNumberFormat="1" applyFont="1" applyBorder="1" applyAlignment="1">
      <alignment horizontal="right" vertical="center"/>
    </xf>
    <xf numFmtId="4" fontId="37" fillId="0" borderId="28" xfId="2" applyNumberFormat="1" applyFont="1" applyBorder="1" applyAlignment="1">
      <alignment horizontal="right" vertical="center"/>
    </xf>
    <xf numFmtId="0" fontId="10" fillId="0" borderId="0" xfId="0" applyFont="1" applyAlignment="1">
      <alignment vertical="center"/>
    </xf>
    <xf numFmtId="0" fontId="9" fillId="0" borderId="0" xfId="0" applyFont="1" applyAlignment="1">
      <alignment vertical="center"/>
    </xf>
    <xf numFmtId="0" fontId="5" fillId="2" borderId="1" xfId="2" applyFont="1" applyFill="1" applyBorder="1" applyAlignment="1">
      <alignment horizontal="center" vertical="center" wrapText="1"/>
    </xf>
    <xf numFmtId="0" fontId="5" fillId="2" borderId="5" xfId="2" applyFont="1" applyFill="1" applyBorder="1" applyAlignment="1">
      <alignment horizontal="center" vertical="center"/>
    </xf>
    <xf numFmtId="0" fontId="5" fillId="2" borderId="8" xfId="2" applyFont="1" applyFill="1" applyBorder="1" applyAlignment="1">
      <alignment horizontal="center" vertical="center"/>
    </xf>
    <xf numFmtId="3" fontId="5" fillId="2" borderId="3" xfId="2" applyNumberFormat="1" applyFont="1" applyFill="1" applyBorder="1" applyAlignment="1">
      <alignment horizontal="center" vertical="center" wrapText="1"/>
    </xf>
    <xf numFmtId="3" fontId="5" fillId="2" borderId="7" xfId="2" applyNumberFormat="1" applyFont="1" applyFill="1" applyBorder="1" applyAlignment="1">
      <alignment horizontal="center" vertical="center" wrapText="1"/>
    </xf>
    <xf numFmtId="3" fontId="5" fillId="2" borderId="10" xfId="2" applyNumberFormat="1" applyFont="1" applyFill="1" applyBorder="1" applyAlignment="1">
      <alignment horizontal="center" vertical="center" wrapText="1"/>
    </xf>
    <xf numFmtId="49" fontId="4" fillId="2" borderId="11" xfId="2" applyNumberFormat="1" applyFont="1" applyFill="1" applyBorder="1" applyAlignment="1">
      <alignment horizontal="center" vertical="center" wrapText="1"/>
    </xf>
    <xf numFmtId="49" fontId="4" fillId="2" borderId="12" xfId="2" applyNumberFormat="1" applyFont="1" applyFill="1" applyBorder="1" applyAlignment="1">
      <alignment horizontal="center" vertical="center" wrapText="1"/>
    </xf>
    <xf numFmtId="49" fontId="4" fillId="2" borderId="13" xfId="2" applyNumberFormat="1" applyFont="1" applyFill="1" applyBorder="1" applyAlignment="1">
      <alignment horizontal="center" vertical="center" wrapText="1"/>
    </xf>
    <xf numFmtId="49" fontId="4" fillId="2" borderId="2" xfId="2" applyNumberFormat="1" applyFont="1" applyFill="1" applyBorder="1" applyAlignment="1">
      <alignment horizontal="center" vertical="center" wrapText="1"/>
    </xf>
    <xf numFmtId="49" fontId="4" fillId="2" borderId="6" xfId="2" applyNumberFormat="1" applyFont="1" applyFill="1" applyBorder="1" applyAlignment="1">
      <alignment horizontal="center" vertical="center" wrapText="1"/>
    </xf>
    <xf numFmtId="49" fontId="4" fillId="2" borderId="9" xfId="2" applyNumberFormat="1" applyFont="1" applyFill="1" applyBorder="1" applyAlignment="1">
      <alignment horizontal="center" vertical="center" wrapText="1"/>
    </xf>
    <xf numFmtId="49" fontId="4" fillId="2" borderId="1" xfId="2" applyNumberFormat="1" applyFont="1" applyFill="1" applyBorder="1" applyAlignment="1">
      <alignment horizontal="center" vertical="center" wrapText="1"/>
    </xf>
    <xf numFmtId="49" fontId="4" fillId="2" borderId="5" xfId="2" applyNumberFormat="1"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49" fontId="5" fillId="2" borderId="1" xfId="2" applyNumberFormat="1" applyFont="1" applyFill="1" applyBorder="1" applyAlignment="1">
      <alignment horizontal="center" vertical="center" wrapText="1"/>
    </xf>
    <xf numFmtId="49" fontId="5" fillId="2" borderId="5" xfId="2" applyNumberFormat="1" applyFont="1" applyFill="1" applyBorder="1" applyAlignment="1">
      <alignment horizontal="center" vertical="center" wrapText="1"/>
    </xf>
    <xf numFmtId="49" fontId="5" fillId="2" borderId="8" xfId="2"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6" xfId="2" applyFont="1" applyFill="1" applyBorder="1" applyAlignment="1">
      <alignment horizontal="center" vertical="center"/>
    </xf>
    <xf numFmtId="0" fontId="5" fillId="2" borderId="9" xfId="2" applyFont="1" applyFill="1" applyBorder="1" applyAlignment="1">
      <alignment horizontal="center" vertical="center"/>
    </xf>
    <xf numFmtId="3" fontId="5" fillId="2" borderId="1" xfId="2" applyNumberFormat="1" applyFont="1" applyFill="1" applyBorder="1" applyAlignment="1">
      <alignment horizontal="center" vertical="center" wrapText="1"/>
    </xf>
    <xf numFmtId="3" fontId="5" fillId="2" borderId="5" xfId="2" applyNumberFormat="1" applyFont="1" applyFill="1" applyBorder="1" applyAlignment="1">
      <alignment horizontal="center" vertical="center"/>
    </xf>
    <xf numFmtId="3" fontId="5" fillId="2" borderId="8" xfId="2" applyNumberFormat="1" applyFont="1" applyFill="1" applyBorder="1" applyAlignment="1">
      <alignment horizontal="center" vertical="center"/>
    </xf>
  </cellXfs>
  <cellStyles count="6">
    <cellStyle name="Hypertextový odkaz" xfId="5" builtinId="8"/>
    <cellStyle name="Měna" xfId="1" builtinId="4"/>
    <cellStyle name="Normální" xfId="0" builtinId="0"/>
    <cellStyle name="Normální 2" xfId="2"/>
    <cellStyle name="normální 2 2" xfId="4"/>
    <cellStyle name="normální_Troja" xfId="3"/>
  </cellStyles>
  <dxfs count="46">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
      <font>
        <condense val="0"/>
        <extend val="0"/>
        <color indexed="10"/>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3"/>
  <sheetViews>
    <sheetView tabSelected="1" workbookViewId="0">
      <selection activeCell="E28" sqref="E28"/>
    </sheetView>
  </sheetViews>
  <sheetFormatPr defaultRowHeight="12.75"/>
  <cols>
    <col min="5" max="5" width="38.625" customWidth="1"/>
    <col min="7" max="7" width="18.125" customWidth="1"/>
    <col min="9" max="9" width="15.25" customWidth="1"/>
  </cols>
  <sheetData>
    <row r="2" spans="1:10" ht="18">
      <c r="A2" s="5" t="s">
        <v>21</v>
      </c>
      <c r="B2" s="1"/>
      <c r="C2" s="1"/>
      <c r="D2" s="1"/>
      <c r="E2" s="1"/>
      <c r="F2" s="1"/>
      <c r="G2" s="1"/>
      <c r="H2" s="1"/>
      <c r="I2" s="1"/>
      <c r="J2" s="1"/>
    </row>
    <row r="3" spans="1:10">
      <c r="A3" s="1"/>
      <c r="B3" s="1"/>
      <c r="C3" s="1"/>
      <c r="D3" s="1"/>
      <c r="E3" s="1"/>
      <c r="F3" s="1"/>
      <c r="G3" s="1"/>
      <c r="H3" s="1"/>
      <c r="I3" s="1"/>
      <c r="J3" s="1"/>
    </row>
    <row r="4" spans="1:10">
      <c r="A4" s="6" t="s">
        <v>22</v>
      </c>
      <c r="B4" s="7"/>
      <c r="C4" s="7"/>
      <c r="D4" s="7"/>
      <c r="E4" s="7"/>
      <c r="F4" s="7"/>
      <c r="G4" s="7"/>
      <c r="H4" s="7"/>
      <c r="I4" s="7"/>
      <c r="J4" s="7"/>
    </row>
    <row r="5" spans="1:10" ht="15">
      <c r="A5" s="8" t="s">
        <v>9</v>
      </c>
      <c r="B5" s="3" t="s">
        <v>378</v>
      </c>
      <c r="C5" s="9"/>
      <c r="D5" s="9"/>
      <c r="E5" s="9"/>
      <c r="F5" s="244"/>
      <c r="G5" s="244"/>
      <c r="H5" s="244"/>
      <c r="I5" s="244"/>
      <c r="J5" s="244"/>
    </row>
    <row r="6" spans="1:10">
      <c r="A6" s="1"/>
      <c r="B6" s="1"/>
      <c r="C6" s="1"/>
      <c r="D6" s="1"/>
      <c r="E6" s="1"/>
      <c r="F6" s="1"/>
      <c r="G6" s="1"/>
      <c r="H6" s="1"/>
      <c r="I6" s="1"/>
      <c r="J6" s="1"/>
    </row>
    <row r="7" spans="1:10">
      <c r="A7" s="6" t="s">
        <v>11</v>
      </c>
      <c r="B7" s="1" t="s">
        <v>34</v>
      </c>
      <c r="C7" s="1"/>
      <c r="D7" s="1"/>
      <c r="E7" s="1"/>
      <c r="F7" s="1"/>
      <c r="G7" s="1"/>
      <c r="H7" s="6" t="s">
        <v>12</v>
      </c>
      <c r="I7" s="22">
        <v>44446</v>
      </c>
      <c r="J7" s="1"/>
    </row>
    <row r="8" spans="1:10">
      <c r="A8" s="1"/>
      <c r="B8" s="1"/>
      <c r="C8" s="1"/>
      <c r="D8" s="1"/>
      <c r="E8" s="1"/>
      <c r="F8" s="1"/>
      <c r="G8" s="1"/>
      <c r="H8" s="1"/>
      <c r="I8" s="1"/>
      <c r="J8" s="1"/>
    </row>
    <row r="9" spans="1:10">
      <c r="A9" s="6" t="s">
        <v>13</v>
      </c>
      <c r="B9" s="1" t="s">
        <v>38</v>
      </c>
      <c r="C9" s="1"/>
      <c r="D9" s="1"/>
      <c r="E9" s="1"/>
      <c r="F9" s="1"/>
      <c r="G9" s="1"/>
      <c r="H9" s="6" t="s">
        <v>14</v>
      </c>
      <c r="I9" s="245"/>
      <c r="J9" s="245"/>
    </row>
    <row r="10" spans="1:10">
      <c r="A10" s="6" t="s">
        <v>15</v>
      </c>
      <c r="B10" s="1"/>
      <c r="C10" s="1"/>
      <c r="D10" s="1"/>
      <c r="E10" s="1"/>
      <c r="F10" s="1"/>
      <c r="G10" s="1"/>
      <c r="H10" s="6" t="s">
        <v>16</v>
      </c>
      <c r="I10" s="245"/>
      <c r="J10" s="245"/>
    </row>
    <row r="11" spans="1:10">
      <c r="A11" s="1"/>
      <c r="B11" s="1"/>
      <c r="C11" s="1"/>
      <c r="D11" s="1"/>
      <c r="E11" s="1"/>
      <c r="F11" s="1"/>
      <c r="G11" s="1"/>
      <c r="H11" s="1"/>
      <c r="I11" s="1"/>
      <c r="J11" s="1"/>
    </row>
    <row r="12" spans="1:10">
      <c r="A12" s="18"/>
      <c r="B12" s="17" t="s">
        <v>23</v>
      </c>
      <c r="C12" s="18"/>
      <c r="D12" s="18"/>
      <c r="E12" s="18" t="s">
        <v>24</v>
      </c>
      <c r="F12" s="18"/>
      <c r="G12" s="18" t="s">
        <v>25</v>
      </c>
      <c r="H12" s="18"/>
      <c r="I12" s="18" t="s">
        <v>26</v>
      </c>
      <c r="J12" s="18"/>
    </row>
    <row r="13" spans="1:10">
      <c r="A13" s="1"/>
      <c r="B13" s="1"/>
      <c r="C13" s="1"/>
      <c r="D13" s="1"/>
      <c r="E13" s="1"/>
      <c r="F13" s="1"/>
      <c r="G13" s="1"/>
      <c r="H13" s="1"/>
      <c r="I13" s="1"/>
      <c r="J13" s="1"/>
    </row>
    <row r="14" spans="1:10" ht="15.75">
      <c r="A14" s="10" t="s">
        <v>27</v>
      </c>
      <c r="B14" s="11"/>
      <c r="C14" s="11"/>
      <c r="D14" s="11"/>
      <c r="E14" s="11"/>
      <c r="F14" s="11"/>
      <c r="G14" s="19">
        <f>ROUND(G15+G19,2)</f>
        <v>0</v>
      </c>
      <c r="H14" s="19"/>
      <c r="I14" s="19">
        <f>SUM(I15,I19)</f>
        <v>0</v>
      </c>
      <c r="J14" s="19"/>
    </row>
    <row r="15" spans="1:10" ht="15" customHeight="1">
      <c r="A15" s="12"/>
      <c r="B15" s="15" t="s">
        <v>28</v>
      </c>
      <c r="C15" s="15"/>
      <c r="D15" s="12" t="s">
        <v>35</v>
      </c>
      <c r="E15" s="15"/>
      <c r="F15" s="15"/>
      <c r="G15" s="140">
        <f>SUM(G16:G18)</f>
        <v>0</v>
      </c>
      <c r="H15" s="13"/>
      <c r="I15" s="140">
        <f>SUM(I16:I18)</f>
        <v>0</v>
      </c>
      <c r="J15" s="13"/>
    </row>
    <row r="16" spans="1:10">
      <c r="A16" s="14"/>
      <c r="B16" s="14"/>
      <c r="C16" s="16" t="s">
        <v>29</v>
      </c>
      <c r="D16" s="16"/>
      <c r="E16" s="228" t="s">
        <v>321</v>
      </c>
      <c r="F16" s="16"/>
      <c r="G16" s="20">
        <f>'PHS 1 '!H11</f>
        <v>0</v>
      </c>
      <c r="H16" s="14"/>
      <c r="I16" s="20">
        <f t="shared" ref="I16:I23" si="0">G16*1.21</f>
        <v>0</v>
      </c>
      <c r="J16" s="14"/>
    </row>
    <row r="17" spans="1:10">
      <c r="A17" s="14"/>
      <c r="B17" s="14"/>
      <c r="C17" s="16" t="s">
        <v>36</v>
      </c>
      <c r="D17" s="16"/>
      <c r="E17" s="228" t="s">
        <v>323</v>
      </c>
      <c r="F17" s="16"/>
      <c r="G17" s="20">
        <f>'PHS 2'!H11</f>
        <v>0</v>
      </c>
      <c r="H17" s="14"/>
      <c r="I17" s="20">
        <f t="shared" si="0"/>
        <v>0</v>
      </c>
      <c r="J17" s="14"/>
    </row>
    <row r="18" spans="1:10">
      <c r="A18" s="14"/>
      <c r="B18" s="14"/>
      <c r="C18" s="16" t="s">
        <v>37</v>
      </c>
      <c r="D18" s="16"/>
      <c r="E18" s="228" t="s">
        <v>322</v>
      </c>
      <c r="F18" s="16"/>
      <c r="G18" s="20">
        <f>'PHS 3'!H11</f>
        <v>0</v>
      </c>
      <c r="H18" s="14"/>
      <c r="I18" s="20">
        <f t="shared" si="0"/>
        <v>0</v>
      </c>
      <c r="J18" s="14"/>
    </row>
    <row r="19" spans="1:10" ht="15">
      <c r="A19" s="12"/>
      <c r="B19" s="15" t="s">
        <v>30</v>
      </c>
      <c r="C19" s="15"/>
      <c r="D19" s="15" t="s">
        <v>31</v>
      </c>
      <c r="E19" s="15"/>
      <c r="F19" s="15"/>
      <c r="G19" s="140">
        <f>ROUND(SUM(G20:G23),2)</f>
        <v>0</v>
      </c>
      <c r="H19" s="13"/>
      <c r="I19" s="140">
        <f t="shared" si="0"/>
        <v>0</v>
      </c>
      <c r="J19" s="13"/>
    </row>
    <row r="20" spans="1:10" ht="12.75" customHeight="1">
      <c r="A20" s="14"/>
      <c r="B20" s="14"/>
      <c r="C20" s="21" t="s">
        <v>32</v>
      </c>
      <c r="D20" s="21"/>
      <c r="E20" s="228" t="s">
        <v>198</v>
      </c>
      <c r="F20" s="21"/>
      <c r="G20" s="20">
        <f>'Manipulace-OTSKP'!H11</f>
        <v>0</v>
      </c>
      <c r="H20" s="14"/>
      <c r="I20" s="20">
        <f t="shared" si="0"/>
        <v>0</v>
      </c>
      <c r="J20" s="14"/>
    </row>
    <row r="21" spans="1:10" ht="12.75" customHeight="1">
      <c r="A21" s="14"/>
      <c r="B21" s="14"/>
      <c r="C21" s="21" t="s">
        <v>33</v>
      </c>
      <c r="D21" s="21"/>
      <c r="E21" s="228" t="s">
        <v>327</v>
      </c>
      <c r="F21" s="21"/>
      <c r="G21" s="20">
        <f>'Manipulace-ÚOŽI'!H11</f>
        <v>0</v>
      </c>
      <c r="H21" s="14"/>
      <c r="I21" s="20">
        <f t="shared" si="0"/>
        <v>0</v>
      </c>
      <c r="J21" s="14"/>
    </row>
    <row r="22" spans="1:10">
      <c r="A22" s="14"/>
      <c r="B22" s="14"/>
      <c r="C22" s="21" t="s">
        <v>197</v>
      </c>
      <c r="D22" s="21"/>
      <c r="E22" s="228" t="s">
        <v>356</v>
      </c>
      <c r="F22" s="21"/>
      <c r="G22" s="20">
        <f>'VON-OTSKP'!H11</f>
        <v>0</v>
      </c>
      <c r="H22" s="14"/>
      <c r="I22" s="20">
        <f t="shared" si="0"/>
        <v>0</v>
      </c>
      <c r="J22" s="14"/>
    </row>
    <row r="23" spans="1:10">
      <c r="C23" s="21" t="s">
        <v>320</v>
      </c>
      <c r="D23" s="21"/>
      <c r="E23" s="228" t="s">
        <v>328</v>
      </c>
      <c r="F23" s="21"/>
      <c r="G23" s="20">
        <f>'VON-ÚOŽI'!H11</f>
        <v>0</v>
      </c>
      <c r="H23" s="14"/>
      <c r="I23" s="20">
        <f t="shared" si="0"/>
        <v>0</v>
      </c>
    </row>
  </sheetData>
  <mergeCells count="3">
    <mergeCell ref="F5:J5"/>
    <mergeCell ref="I9:J9"/>
    <mergeCell ref="I10:J10"/>
  </mergeCells>
  <hyperlinks>
    <hyperlink ref="E21" location="'Manipulace-ÚOŽI'!A1" display="Manipulace, přepravy, poplatky-ÚOŽI"/>
    <hyperlink ref="E16" location="'PHS 1 '!A1" display="PHS 1 - v km 98,400 - 99,125 vpravo-OTSKP"/>
    <hyperlink ref="E17" location="'PHS 2'!A1" display="PHS 2 - v km 97,750 - 98,055 vpravo-OTSKP"/>
    <hyperlink ref="E18" location="'PHS 3'!A1" display="PHS 3 - v km 96,675 - 97,100 vpravo-OTSKP"/>
    <hyperlink ref="E20" location="'Manipulace-OTSKP'!A1" display="Manipulace, přepravy, poplatky-OTSKP"/>
    <hyperlink ref="E22" location="'VON-OTSKP'!A1" display="VON-OTSK"/>
    <hyperlink ref="E23" location="'VON-ÚOŽI'!A1" display="VON-ÚOŽI"/>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5"/>
  <sheetViews>
    <sheetView workbookViewId="0">
      <selection activeCell="B3" sqref="B3"/>
    </sheetView>
  </sheetViews>
  <sheetFormatPr defaultRowHeight="12.75"/>
  <cols>
    <col min="2" max="2" width="11.75" customWidth="1"/>
    <col min="4" max="4" width="50.5" customWidth="1"/>
    <col min="6" max="6" width="12.625" customWidth="1"/>
    <col min="7" max="7" width="12.5" customWidth="1"/>
    <col min="8" max="8" width="17.375" customWidth="1"/>
    <col min="11" max="11" width="16.25" bestFit="1" customWidth="1"/>
  </cols>
  <sheetData>
    <row r="1" spans="1:8" ht="15">
      <c r="A1" s="4" t="s">
        <v>8</v>
      </c>
    </row>
    <row r="3" spans="1:8">
      <c r="A3" t="s">
        <v>9</v>
      </c>
      <c r="B3" s="23" t="s">
        <v>378</v>
      </c>
    </row>
    <row r="4" spans="1:8">
      <c r="B4" s="23"/>
    </row>
    <row r="5" spans="1:8">
      <c r="A5" t="s">
        <v>10</v>
      </c>
      <c r="B5" s="23" t="s">
        <v>377</v>
      </c>
    </row>
    <row r="6" spans="1:8">
      <c r="B6" s="23"/>
    </row>
    <row r="7" spans="1:8">
      <c r="A7" t="s">
        <v>17</v>
      </c>
      <c r="B7" s="23" t="s">
        <v>324</v>
      </c>
    </row>
    <row r="8" spans="1:8">
      <c r="B8" s="23"/>
    </row>
    <row r="9" spans="1:8">
      <c r="A9" t="s">
        <v>11</v>
      </c>
      <c r="B9" s="23" t="s">
        <v>18</v>
      </c>
      <c r="F9" t="s">
        <v>19</v>
      </c>
      <c r="G9" s="2">
        <f>Rekapitulace!I7</f>
        <v>44446</v>
      </c>
    </row>
    <row r="11" spans="1:8" ht="13.5" thickBot="1">
      <c r="G11" s="186" t="s">
        <v>137</v>
      </c>
      <c r="H11" s="185">
        <f>SUM(H15:H259)</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c r="A15" s="161"/>
      <c r="B15" s="162"/>
      <c r="C15" s="163" t="s">
        <v>70</v>
      </c>
      <c r="D15" s="164" t="s">
        <v>71</v>
      </c>
      <c r="E15" s="165"/>
      <c r="F15" s="166"/>
      <c r="G15" s="167"/>
      <c r="H15" s="168"/>
    </row>
    <row r="16" spans="1:8">
      <c r="A16" s="24">
        <v>1</v>
      </c>
      <c r="B16" s="33" t="s">
        <v>138</v>
      </c>
      <c r="C16" s="75">
        <v>17411</v>
      </c>
      <c r="D16" s="76" t="s">
        <v>72</v>
      </c>
      <c r="E16" s="28" t="s">
        <v>73</v>
      </c>
      <c r="F16" s="29">
        <f>F18</f>
        <v>37.411793999999993</v>
      </c>
      <c r="G16" s="45"/>
      <c r="H16" s="31">
        <f>ROUND((G16*F16),2)</f>
        <v>0</v>
      </c>
    </row>
    <row r="17" spans="1:11">
      <c r="A17" s="38"/>
      <c r="B17" s="39"/>
      <c r="C17" s="39"/>
      <c r="D17" s="53" t="s">
        <v>74</v>
      </c>
      <c r="E17" s="77"/>
      <c r="F17" s="42"/>
      <c r="G17" s="78"/>
      <c r="H17" s="44"/>
    </row>
    <row r="18" spans="1:11">
      <c r="A18" s="38"/>
      <c r="B18" s="39"/>
      <c r="C18" s="39"/>
      <c r="D18" s="40" t="s">
        <v>75</v>
      </c>
      <c r="E18" s="77"/>
      <c r="F18" s="42">
        <f>3.142*0.3*0.3*0.7*189</f>
        <v>37.411793999999993</v>
      </c>
      <c r="G18" s="78"/>
      <c r="H18" s="44"/>
    </row>
    <row r="19" spans="1:11">
      <c r="A19" s="38"/>
      <c r="B19" s="39"/>
      <c r="C19" s="39"/>
      <c r="D19" s="40"/>
      <c r="E19" s="77"/>
      <c r="F19" s="42"/>
      <c r="G19" s="78"/>
      <c r="H19" s="44"/>
    </row>
    <row r="20" spans="1:11">
      <c r="A20" s="38"/>
      <c r="B20" s="39"/>
      <c r="C20" s="39"/>
      <c r="D20" s="40" t="s">
        <v>210</v>
      </c>
      <c r="E20" s="77"/>
      <c r="F20" s="42"/>
      <c r="G20" s="78"/>
      <c r="H20" s="44"/>
      <c r="K20" s="229"/>
    </row>
    <row r="21" spans="1:11" ht="25.5">
      <c r="A21" s="38"/>
      <c r="B21" s="39"/>
      <c r="C21" s="39"/>
      <c r="D21" s="40" t="s">
        <v>220</v>
      </c>
      <c r="E21" s="77"/>
      <c r="F21" s="42"/>
      <c r="G21" s="78"/>
      <c r="H21" s="44"/>
      <c r="K21" s="229"/>
    </row>
    <row r="22" spans="1:11" ht="38.25">
      <c r="A22" s="38"/>
      <c r="B22" s="39"/>
      <c r="C22" s="39"/>
      <c r="D22" s="40" t="s">
        <v>217</v>
      </c>
      <c r="E22" s="77"/>
      <c r="F22" s="42"/>
      <c r="G22" s="78"/>
      <c r="H22" s="184"/>
    </row>
    <row r="23" spans="1:11">
      <c r="A23" s="38"/>
      <c r="B23" s="39"/>
      <c r="C23" s="39"/>
      <c r="D23" s="40" t="s">
        <v>221</v>
      </c>
      <c r="E23" s="77"/>
      <c r="F23" s="42"/>
      <c r="G23" s="78"/>
      <c r="H23" s="44"/>
    </row>
    <row r="24" spans="1:11" ht="25.5">
      <c r="A24" s="38"/>
      <c r="B24" s="39"/>
      <c r="C24" s="39"/>
      <c r="D24" s="40" t="s">
        <v>222</v>
      </c>
      <c r="E24" s="77"/>
      <c r="F24" s="42"/>
      <c r="G24" s="78"/>
      <c r="H24" s="44"/>
    </row>
    <row r="25" spans="1:11" ht="25.5">
      <c r="A25" s="38"/>
      <c r="B25" s="39"/>
      <c r="C25" s="39"/>
      <c r="D25" s="40" t="s">
        <v>218</v>
      </c>
      <c r="E25" s="77"/>
      <c r="F25" s="42"/>
      <c r="G25" s="78"/>
      <c r="H25" s="44"/>
    </row>
    <row r="26" spans="1:11" ht="25.5">
      <c r="A26" s="38"/>
      <c r="B26" s="39"/>
      <c r="C26" s="39"/>
      <c r="D26" s="40" t="s">
        <v>223</v>
      </c>
      <c r="E26" s="77"/>
      <c r="F26" s="42"/>
      <c r="G26" s="78"/>
      <c r="H26" s="44"/>
    </row>
    <row r="27" spans="1:11">
      <c r="A27" s="38"/>
      <c r="B27" s="39"/>
      <c r="C27" s="39"/>
      <c r="D27" s="40" t="s">
        <v>224</v>
      </c>
      <c r="E27" s="77"/>
      <c r="F27" s="42"/>
      <c r="G27" s="78"/>
      <c r="H27" s="44"/>
    </row>
    <row r="28" spans="1:11" ht="25.5">
      <c r="A28" s="38"/>
      <c r="B28" s="39"/>
      <c r="C28" s="39"/>
      <c r="D28" s="40" t="s">
        <v>225</v>
      </c>
      <c r="E28" s="77"/>
      <c r="F28" s="42"/>
      <c r="G28" s="78"/>
      <c r="H28" s="44"/>
    </row>
    <row r="29" spans="1:11">
      <c r="A29" s="38"/>
      <c r="B29" s="39"/>
      <c r="C29" s="39"/>
      <c r="D29" s="40" t="s">
        <v>226</v>
      </c>
      <c r="E29" s="77"/>
      <c r="F29" s="42"/>
      <c r="G29" s="78"/>
      <c r="H29" s="44"/>
    </row>
    <row r="30" spans="1:11">
      <c r="A30" s="38"/>
      <c r="B30" s="39"/>
      <c r="C30" s="39"/>
      <c r="D30" s="40" t="s">
        <v>227</v>
      </c>
      <c r="E30" s="77"/>
      <c r="F30" s="42"/>
      <c r="G30" s="78"/>
      <c r="H30" s="44"/>
    </row>
    <row r="31" spans="1:11">
      <c r="A31" s="38"/>
      <c r="B31" s="39"/>
      <c r="C31" s="39"/>
      <c r="D31" s="40" t="s">
        <v>228</v>
      </c>
      <c r="E31" s="77"/>
      <c r="F31" s="42"/>
      <c r="G31" s="78"/>
      <c r="H31" s="44"/>
    </row>
    <row r="32" spans="1:11">
      <c r="A32" s="38"/>
      <c r="B32" s="39"/>
      <c r="C32" s="39"/>
      <c r="D32" s="40" t="s">
        <v>229</v>
      </c>
      <c r="E32" s="77"/>
      <c r="F32" s="42"/>
      <c r="G32" s="78"/>
      <c r="H32" s="44"/>
    </row>
    <row r="33" spans="1:8" ht="38.25">
      <c r="A33" s="38"/>
      <c r="B33" s="39"/>
      <c r="C33" s="39"/>
      <c r="D33" s="40" t="s">
        <v>219</v>
      </c>
      <c r="E33" s="77"/>
      <c r="F33" s="42"/>
      <c r="G33" s="78"/>
      <c r="H33" s="44"/>
    </row>
    <row r="34" spans="1:8">
      <c r="A34" s="32">
        <v>2</v>
      </c>
      <c r="B34" s="33" t="s">
        <v>138</v>
      </c>
      <c r="C34" s="34">
        <v>18130</v>
      </c>
      <c r="D34" s="35" t="s">
        <v>76</v>
      </c>
      <c r="E34" s="36" t="s">
        <v>77</v>
      </c>
      <c r="F34" s="37">
        <f>F36</f>
        <v>730</v>
      </c>
      <c r="G34" s="45"/>
      <c r="H34" s="31">
        <f>ROUND((G34*F34),2)</f>
        <v>0</v>
      </c>
    </row>
    <row r="35" spans="1:8">
      <c r="A35" s="79"/>
      <c r="B35" s="80"/>
      <c r="C35" s="80"/>
      <c r="D35" s="53" t="s">
        <v>78</v>
      </c>
      <c r="E35" s="81"/>
      <c r="F35" s="82"/>
      <c r="G35" s="83"/>
      <c r="H35" s="67"/>
    </row>
    <row r="36" spans="1:8">
      <c r="A36" s="38"/>
      <c r="B36" s="39"/>
      <c r="C36" s="39"/>
      <c r="D36" s="53" t="s">
        <v>79</v>
      </c>
      <c r="E36" s="41"/>
      <c r="F36" s="42">
        <f>730*1</f>
        <v>730</v>
      </c>
      <c r="G36" s="43"/>
      <c r="H36" s="44"/>
    </row>
    <row r="37" spans="1:8">
      <c r="A37" s="38"/>
      <c r="B37" s="39"/>
      <c r="C37" s="39"/>
      <c r="D37" s="53"/>
      <c r="E37" s="41"/>
      <c r="F37" s="42"/>
      <c r="G37" s="43"/>
      <c r="H37" s="44"/>
    </row>
    <row r="38" spans="1:8">
      <c r="A38" s="38"/>
      <c r="B38" s="39"/>
      <c r="C38" s="39"/>
      <c r="D38" s="53" t="s">
        <v>230</v>
      </c>
      <c r="E38" s="41"/>
      <c r="F38" s="42"/>
      <c r="G38" s="43"/>
      <c r="H38" s="44"/>
    </row>
    <row r="39" spans="1:8">
      <c r="A39" s="84"/>
      <c r="B39" s="85"/>
      <c r="C39" s="85" t="s">
        <v>80</v>
      </c>
      <c r="D39" s="86" t="s">
        <v>81</v>
      </c>
      <c r="E39" s="87"/>
      <c r="F39" s="88"/>
      <c r="G39" s="87"/>
      <c r="H39" s="89"/>
    </row>
    <row r="40" spans="1:8">
      <c r="A40" s="24">
        <v>3</v>
      </c>
      <c r="B40" s="33" t="s">
        <v>138</v>
      </c>
      <c r="C40" s="75">
        <v>224324</v>
      </c>
      <c r="D40" s="76" t="s">
        <v>82</v>
      </c>
      <c r="E40" s="28" t="s">
        <v>73</v>
      </c>
      <c r="F40" s="29">
        <f>F42</f>
        <v>194.447799315</v>
      </c>
      <c r="G40" s="45"/>
      <c r="H40" s="31">
        <f>ROUND((G40*F40),2)</f>
        <v>0</v>
      </c>
    </row>
    <row r="41" spans="1:8">
      <c r="A41" s="90"/>
      <c r="B41" s="91"/>
      <c r="C41" s="91"/>
      <c r="D41" s="53" t="s">
        <v>83</v>
      </c>
      <c r="E41" s="92"/>
      <c r="F41" s="93"/>
      <c r="G41" s="66"/>
      <c r="H41" s="67"/>
    </row>
    <row r="42" spans="1:8">
      <c r="A42" s="38"/>
      <c r="B42" s="39"/>
      <c r="C42" s="39"/>
      <c r="D42" s="40" t="s">
        <v>84</v>
      </c>
      <c r="E42" s="77"/>
      <c r="F42" s="68">
        <f>3.142*0.63/2*0.63/2*(4-0.7)*189</f>
        <v>194.447799315</v>
      </c>
      <c r="G42" s="78"/>
      <c r="H42" s="44"/>
    </row>
    <row r="43" spans="1:8">
      <c r="A43" s="38"/>
      <c r="B43" s="39"/>
      <c r="C43" s="39"/>
      <c r="D43" s="40"/>
      <c r="E43" s="77"/>
      <c r="F43" s="68"/>
      <c r="G43" s="78"/>
      <c r="H43" s="44"/>
    </row>
    <row r="44" spans="1:8">
      <c r="A44" s="38"/>
      <c r="B44" s="39"/>
      <c r="C44" s="39"/>
      <c r="D44" s="40" t="s">
        <v>210</v>
      </c>
      <c r="E44" s="77"/>
      <c r="F44" s="68"/>
      <c r="G44" s="78"/>
      <c r="H44" s="44"/>
    </row>
    <row r="45" spans="1:8" ht="51">
      <c r="A45" s="38"/>
      <c r="B45" s="39"/>
      <c r="C45" s="39"/>
      <c r="D45" s="40" t="s">
        <v>231</v>
      </c>
      <c r="E45" s="77"/>
      <c r="F45" s="68"/>
      <c r="G45" s="78"/>
      <c r="H45" s="44"/>
    </row>
    <row r="46" spans="1:8" ht="25.5">
      <c r="A46" s="38"/>
      <c r="B46" s="39"/>
      <c r="C46" s="39"/>
      <c r="D46" s="40" t="s">
        <v>232</v>
      </c>
      <c r="E46" s="77"/>
      <c r="F46" s="68"/>
      <c r="G46" s="78"/>
      <c r="H46" s="44"/>
    </row>
    <row r="47" spans="1:8">
      <c r="A47" s="38"/>
      <c r="B47" s="39"/>
      <c r="C47" s="39"/>
      <c r="D47" s="40" t="s">
        <v>245</v>
      </c>
      <c r="E47" s="77"/>
      <c r="F47" s="68"/>
      <c r="G47" s="78"/>
      <c r="H47" s="44"/>
    </row>
    <row r="48" spans="1:8" ht="25.5">
      <c r="A48" s="38"/>
      <c r="B48" s="39"/>
      <c r="C48" s="39"/>
      <c r="D48" s="40" t="s">
        <v>233</v>
      </c>
      <c r="E48" s="77"/>
      <c r="F48" s="68"/>
      <c r="G48" s="78"/>
      <c r="H48" s="44"/>
    </row>
    <row r="49" spans="1:8" ht="51">
      <c r="A49" s="38"/>
      <c r="B49" s="39"/>
      <c r="C49" s="39"/>
      <c r="D49" s="40" t="s">
        <v>235</v>
      </c>
      <c r="E49" s="77"/>
      <c r="F49" s="68"/>
      <c r="G49" s="78"/>
      <c r="H49" s="44"/>
    </row>
    <row r="50" spans="1:8">
      <c r="A50" s="38"/>
      <c r="B50" s="39"/>
      <c r="C50" s="39"/>
      <c r="D50" s="40" t="s">
        <v>236</v>
      </c>
      <c r="E50" s="77"/>
      <c r="F50" s="68"/>
      <c r="G50" s="78"/>
      <c r="H50" s="44"/>
    </row>
    <row r="51" spans="1:8" ht="38.25">
      <c r="A51" s="38"/>
      <c r="B51" s="39"/>
      <c r="C51" s="39"/>
      <c r="D51" s="40" t="s">
        <v>237</v>
      </c>
      <c r="E51" s="77"/>
      <c r="F51" s="68"/>
      <c r="G51" s="78"/>
      <c r="H51" s="44"/>
    </row>
    <row r="52" spans="1:8">
      <c r="A52" s="38"/>
      <c r="B52" s="39"/>
      <c r="C52" s="39"/>
      <c r="D52" s="40" t="s">
        <v>238</v>
      </c>
      <c r="E52" s="77"/>
      <c r="F52" s="68"/>
      <c r="G52" s="78"/>
      <c r="H52" s="44"/>
    </row>
    <row r="53" spans="1:8" ht="25.5">
      <c r="A53" s="38"/>
      <c r="B53" s="39"/>
      <c r="C53" s="39"/>
      <c r="D53" s="40" t="s">
        <v>239</v>
      </c>
      <c r="E53" s="77"/>
      <c r="F53" s="68"/>
      <c r="G53" s="78"/>
      <c r="H53" s="44"/>
    </row>
    <row r="54" spans="1:8">
      <c r="A54" s="38"/>
      <c r="B54" s="39"/>
      <c r="C54" s="39"/>
      <c r="D54" s="40" t="s">
        <v>246</v>
      </c>
      <c r="E54" s="77"/>
      <c r="F54" s="68"/>
      <c r="G54" s="78"/>
      <c r="H54" s="44"/>
    </row>
    <row r="55" spans="1:8">
      <c r="A55" s="38"/>
      <c r="B55" s="39"/>
      <c r="C55" s="39"/>
      <c r="D55" s="40" t="s">
        <v>247</v>
      </c>
      <c r="E55" s="77"/>
      <c r="F55" s="68"/>
      <c r="G55" s="78"/>
      <c r="H55" s="44"/>
    </row>
    <row r="56" spans="1:8">
      <c r="A56" s="38"/>
      <c r="B56" s="39"/>
      <c r="C56" s="39"/>
      <c r="D56" s="40" t="s">
        <v>240</v>
      </c>
      <c r="E56" s="77"/>
      <c r="F56" s="68"/>
      <c r="G56" s="78"/>
      <c r="H56" s="44"/>
    </row>
    <row r="57" spans="1:8" ht="25.5">
      <c r="A57" s="38"/>
      <c r="B57" s="39"/>
      <c r="C57" s="39"/>
      <c r="D57" s="40" t="s">
        <v>241</v>
      </c>
      <c r="E57" s="77"/>
      <c r="F57" s="68"/>
      <c r="G57" s="78"/>
      <c r="H57" s="44"/>
    </row>
    <row r="58" spans="1:8">
      <c r="A58" s="38"/>
      <c r="B58" s="39"/>
      <c r="C58" s="39"/>
      <c r="D58" s="40" t="s">
        <v>248</v>
      </c>
      <c r="E58" s="77"/>
      <c r="F58" s="68"/>
      <c r="G58" s="78"/>
      <c r="H58" s="44"/>
    </row>
    <row r="59" spans="1:8" ht="25.5">
      <c r="A59" s="38"/>
      <c r="B59" s="39"/>
      <c r="C59" s="39"/>
      <c r="D59" s="40" t="s">
        <v>249</v>
      </c>
      <c r="E59" s="77"/>
      <c r="F59" s="68"/>
      <c r="G59" s="78"/>
      <c r="H59" s="44"/>
    </row>
    <row r="60" spans="1:8" ht="25.5">
      <c r="A60" s="38"/>
      <c r="B60" s="39"/>
      <c r="C60" s="39"/>
      <c r="D60" s="40" t="s">
        <v>242</v>
      </c>
      <c r="E60" s="77"/>
      <c r="F60" s="68"/>
      <c r="G60" s="78"/>
      <c r="H60" s="44"/>
    </row>
    <row r="61" spans="1:8" ht="25.5">
      <c r="A61" s="38"/>
      <c r="B61" s="39"/>
      <c r="C61" s="39"/>
      <c r="D61" s="40" t="s">
        <v>250</v>
      </c>
      <c r="E61" s="77"/>
      <c r="F61" s="68"/>
      <c r="G61" s="78"/>
      <c r="H61" s="44"/>
    </row>
    <row r="62" spans="1:8" ht="25.5">
      <c r="A62" s="38"/>
      <c r="B62" s="39"/>
      <c r="C62" s="39"/>
      <c r="D62" s="40" t="s">
        <v>251</v>
      </c>
      <c r="E62" s="77"/>
      <c r="F62" s="68"/>
      <c r="G62" s="78"/>
      <c r="H62" s="44"/>
    </row>
    <row r="63" spans="1:8">
      <c r="A63" s="38"/>
      <c r="B63" s="39"/>
      <c r="C63" s="39"/>
      <c r="D63" s="40" t="s">
        <v>252</v>
      </c>
      <c r="E63" s="77"/>
      <c r="F63" s="68"/>
      <c r="G63" s="78"/>
      <c r="H63" s="44"/>
    </row>
    <row r="64" spans="1:8" ht="25.5">
      <c r="A64" s="38"/>
      <c r="B64" s="39"/>
      <c r="C64" s="39"/>
      <c r="D64" s="40" t="s">
        <v>243</v>
      </c>
      <c r="E64" s="77"/>
      <c r="F64" s="68"/>
      <c r="G64" s="78"/>
      <c r="H64" s="44"/>
    </row>
    <row r="65" spans="1:8">
      <c r="A65" s="38"/>
      <c r="B65" s="39"/>
      <c r="C65" s="39"/>
      <c r="D65" s="40" t="s">
        <v>244</v>
      </c>
      <c r="E65" s="77"/>
      <c r="F65" s="68"/>
      <c r="G65" s="78"/>
      <c r="H65" s="44"/>
    </row>
    <row r="66" spans="1:8">
      <c r="A66" s="24">
        <v>4</v>
      </c>
      <c r="B66" s="25"/>
      <c r="C66" s="75" t="s">
        <v>202</v>
      </c>
      <c r="D66" s="76" t="s">
        <v>85</v>
      </c>
      <c r="E66" s="28" t="s">
        <v>55</v>
      </c>
      <c r="F66" s="58">
        <v>189</v>
      </c>
      <c r="G66" s="30"/>
      <c r="H66" s="31">
        <f>ROUND((G66*F66),2)</f>
        <v>0</v>
      </c>
    </row>
    <row r="67" spans="1:8">
      <c r="A67" s="90"/>
      <c r="B67" s="91"/>
      <c r="C67" s="91"/>
      <c r="D67" s="94"/>
      <c r="E67" s="95"/>
      <c r="F67" s="96"/>
      <c r="G67" s="97"/>
      <c r="H67" s="44"/>
    </row>
    <row r="68" spans="1:8">
      <c r="A68" s="24">
        <v>5</v>
      </c>
      <c r="B68" s="33" t="s">
        <v>138</v>
      </c>
      <c r="C68" s="75">
        <v>224325</v>
      </c>
      <c r="D68" s="76" t="s">
        <v>86</v>
      </c>
      <c r="E68" s="28" t="s">
        <v>73</v>
      </c>
      <c r="F68" s="58">
        <f>SUM(F70:F70)</f>
        <v>41.246502884999998</v>
      </c>
      <c r="G68" s="45"/>
      <c r="H68" s="31">
        <f>ROUND((G68*F68),2)</f>
        <v>0</v>
      </c>
    </row>
    <row r="69" spans="1:8">
      <c r="A69" s="90"/>
      <c r="B69" s="91"/>
      <c r="C69" s="91"/>
      <c r="D69" s="53" t="s">
        <v>87</v>
      </c>
      <c r="E69" s="91"/>
      <c r="F69" s="65"/>
      <c r="G69" s="78"/>
      <c r="H69" s="44"/>
    </row>
    <row r="70" spans="1:8">
      <c r="A70" s="90"/>
      <c r="B70" s="91"/>
      <c r="C70" s="91"/>
      <c r="D70" s="40" t="s">
        <v>88</v>
      </c>
      <c r="E70" s="77"/>
      <c r="F70" s="68">
        <f>3.142*0.63/2*0.63/2*0.7*189</f>
        <v>41.246502884999998</v>
      </c>
      <c r="G70" s="78"/>
      <c r="H70" s="44"/>
    </row>
    <row r="71" spans="1:8">
      <c r="A71" s="90"/>
      <c r="B71" s="91"/>
      <c r="C71" s="91"/>
      <c r="D71" s="40"/>
      <c r="E71" s="77"/>
      <c r="F71" s="68"/>
      <c r="G71" s="78"/>
      <c r="H71" s="44"/>
    </row>
    <row r="72" spans="1:8">
      <c r="A72" s="90"/>
      <c r="B72" s="91"/>
      <c r="C72" s="91"/>
      <c r="D72" s="40" t="s">
        <v>210</v>
      </c>
      <c r="E72" s="77"/>
      <c r="F72" s="68"/>
      <c r="G72" s="78"/>
      <c r="H72" s="44"/>
    </row>
    <row r="73" spans="1:8" ht="51">
      <c r="A73" s="90"/>
      <c r="B73" s="91"/>
      <c r="C73" s="91"/>
      <c r="D73" s="40" t="s">
        <v>231</v>
      </c>
      <c r="E73" s="77"/>
      <c r="F73" s="68"/>
      <c r="G73" s="78"/>
      <c r="H73" s="44"/>
    </row>
    <row r="74" spans="1:8" ht="25.5">
      <c r="A74" s="90"/>
      <c r="B74" s="91"/>
      <c r="C74" s="91"/>
      <c r="D74" s="40" t="s">
        <v>232</v>
      </c>
      <c r="E74" s="77"/>
      <c r="F74" s="68"/>
      <c r="G74" s="78"/>
      <c r="H74" s="44"/>
    </row>
    <row r="75" spans="1:8">
      <c r="A75" s="90"/>
      <c r="B75" s="91"/>
      <c r="C75" s="91"/>
      <c r="D75" s="40" t="s">
        <v>245</v>
      </c>
      <c r="E75" s="77"/>
      <c r="F75" s="68"/>
      <c r="G75" s="78"/>
      <c r="H75" s="44"/>
    </row>
    <row r="76" spans="1:8" ht="25.5">
      <c r="A76" s="90"/>
      <c r="B76" s="91"/>
      <c r="C76" s="91"/>
      <c r="D76" s="40" t="s">
        <v>233</v>
      </c>
      <c r="E76" s="77"/>
      <c r="F76" s="68"/>
      <c r="G76" s="78"/>
      <c r="H76" s="44"/>
    </row>
    <row r="77" spans="1:8" ht="38.25">
      <c r="A77" s="90"/>
      <c r="B77" s="91"/>
      <c r="C77" s="91"/>
      <c r="D77" s="40" t="s">
        <v>234</v>
      </c>
      <c r="E77" s="77"/>
      <c r="F77" s="68"/>
      <c r="G77" s="78"/>
      <c r="H77" s="44"/>
    </row>
    <row r="78" spans="1:8" ht="51">
      <c r="A78" s="90"/>
      <c r="B78" s="91"/>
      <c r="C78" s="91"/>
      <c r="D78" s="40" t="s">
        <v>235</v>
      </c>
      <c r="E78" s="77"/>
      <c r="F78" s="68"/>
      <c r="G78" s="78"/>
      <c r="H78" s="44"/>
    </row>
    <row r="79" spans="1:8">
      <c r="A79" s="90"/>
      <c r="B79" s="91"/>
      <c r="C79" s="91"/>
      <c r="D79" s="40" t="s">
        <v>236</v>
      </c>
      <c r="E79" s="77"/>
      <c r="F79" s="68"/>
      <c r="G79" s="78"/>
      <c r="H79" s="44"/>
    </row>
    <row r="80" spans="1:8" ht="38.25">
      <c r="A80" s="90"/>
      <c r="B80" s="91"/>
      <c r="C80" s="91"/>
      <c r="D80" s="40" t="s">
        <v>237</v>
      </c>
      <c r="E80" s="77"/>
      <c r="F80" s="68"/>
      <c r="G80" s="78"/>
      <c r="H80" s="44"/>
    </row>
    <row r="81" spans="1:8">
      <c r="A81" s="90"/>
      <c r="B81" s="91"/>
      <c r="C81" s="91"/>
      <c r="D81" s="40" t="s">
        <v>238</v>
      </c>
      <c r="E81" s="77"/>
      <c r="F81" s="68"/>
      <c r="G81" s="78"/>
      <c r="H81" s="44"/>
    </row>
    <row r="82" spans="1:8" ht="25.5">
      <c r="A82" s="90"/>
      <c r="B82" s="91"/>
      <c r="C82" s="91"/>
      <c r="D82" s="40" t="s">
        <v>239</v>
      </c>
      <c r="E82" s="77"/>
      <c r="F82" s="68"/>
      <c r="G82" s="78"/>
      <c r="H82" s="44"/>
    </row>
    <row r="83" spans="1:8">
      <c r="A83" s="90"/>
      <c r="B83" s="91"/>
      <c r="C83" s="91"/>
      <c r="D83" s="40" t="s">
        <v>246</v>
      </c>
      <c r="E83" s="77"/>
      <c r="F83" s="68"/>
      <c r="G83" s="78"/>
      <c r="H83" s="44"/>
    </row>
    <row r="84" spans="1:8">
      <c r="A84" s="90"/>
      <c r="B84" s="91"/>
      <c r="C84" s="91"/>
      <c r="D84" s="40" t="s">
        <v>247</v>
      </c>
      <c r="E84" s="77"/>
      <c r="F84" s="68"/>
      <c r="G84" s="78"/>
      <c r="H84" s="44"/>
    </row>
    <row r="85" spans="1:8">
      <c r="A85" s="90"/>
      <c r="B85" s="91"/>
      <c r="C85" s="91"/>
      <c r="D85" s="40" t="s">
        <v>240</v>
      </c>
      <c r="E85" s="77"/>
      <c r="F85" s="68"/>
      <c r="G85" s="78"/>
      <c r="H85" s="44"/>
    </row>
    <row r="86" spans="1:8" ht="25.5">
      <c r="A86" s="90"/>
      <c r="B86" s="91"/>
      <c r="C86" s="91"/>
      <c r="D86" s="40" t="s">
        <v>241</v>
      </c>
      <c r="E86" s="77"/>
      <c r="F86" s="68"/>
      <c r="G86" s="78"/>
      <c r="H86" s="44"/>
    </row>
    <row r="87" spans="1:8">
      <c r="A87" s="90"/>
      <c r="B87" s="91"/>
      <c r="C87" s="91"/>
      <c r="D87" s="40" t="s">
        <v>248</v>
      </c>
      <c r="E87" s="77"/>
      <c r="F87" s="68"/>
      <c r="G87" s="78"/>
      <c r="H87" s="44"/>
    </row>
    <row r="88" spans="1:8" ht="25.5">
      <c r="A88" s="90"/>
      <c r="B88" s="91"/>
      <c r="C88" s="91"/>
      <c r="D88" s="40" t="s">
        <v>249</v>
      </c>
      <c r="E88" s="77"/>
      <c r="F88" s="68"/>
      <c r="G88" s="78"/>
      <c r="H88" s="44"/>
    </row>
    <row r="89" spans="1:8" ht="25.5">
      <c r="A89" s="90"/>
      <c r="B89" s="91"/>
      <c r="C89" s="91"/>
      <c r="D89" s="40" t="s">
        <v>242</v>
      </c>
      <c r="E89" s="77"/>
      <c r="F89" s="68"/>
      <c r="G89" s="78"/>
      <c r="H89" s="44"/>
    </row>
    <row r="90" spans="1:8" ht="25.5">
      <c r="A90" s="90"/>
      <c r="B90" s="91"/>
      <c r="C90" s="91"/>
      <c r="D90" s="40" t="s">
        <v>250</v>
      </c>
      <c r="E90" s="77"/>
      <c r="F90" s="68"/>
      <c r="G90" s="78"/>
      <c r="H90" s="44"/>
    </row>
    <row r="91" spans="1:8" ht="25.5">
      <c r="A91" s="90"/>
      <c r="B91" s="91"/>
      <c r="C91" s="91"/>
      <c r="D91" s="40" t="s">
        <v>251</v>
      </c>
      <c r="E91" s="77"/>
      <c r="F91" s="68"/>
      <c r="G91" s="78"/>
      <c r="H91" s="44"/>
    </row>
    <row r="92" spans="1:8">
      <c r="A92" s="90"/>
      <c r="B92" s="91"/>
      <c r="C92" s="91"/>
      <c r="D92" s="40" t="s">
        <v>252</v>
      </c>
      <c r="E92" s="77"/>
      <c r="F92" s="68"/>
      <c r="G92" s="78"/>
      <c r="H92" s="44"/>
    </row>
    <row r="93" spans="1:8" ht="25.5">
      <c r="A93" s="90"/>
      <c r="B93" s="91"/>
      <c r="C93" s="91"/>
      <c r="D93" s="40" t="s">
        <v>243</v>
      </c>
      <c r="E93" s="77"/>
      <c r="F93" s="68"/>
      <c r="G93" s="78"/>
      <c r="H93" s="44"/>
    </row>
    <row r="94" spans="1:8">
      <c r="A94" s="90"/>
      <c r="B94" s="91"/>
      <c r="C94" s="91"/>
      <c r="D94" s="40" t="s">
        <v>244</v>
      </c>
      <c r="E94" s="77"/>
      <c r="F94" s="68"/>
      <c r="G94" s="78"/>
      <c r="H94" s="44"/>
    </row>
    <row r="95" spans="1:8">
      <c r="A95" s="169">
        <v>6</v>
      </c>
      <c r="B95" s="170" t="s">
        <v>138</v>
      </c>
      <c r="C95" s="171">
        <v>224365</v>
      </c>
      <c r="D95" s="172" t="s">
        <v>89</v>
      </c>
      <c r="E95" s="173" t="s">
        <v>43</v>
      </c>
      <c r="F95" s="174">
        <f>F97</f>
        <v>28.283399999999997</v>
      </c>
      <c r="G95" s="175"/>
      <c r="H95" s="176">
        <f>ROUND((G95*F95),2)</f>
        <v>0</v>
      </c>
    </row>
    <row r="96" spans="1:8">
      <c r="A96" s="38"/>
      <c r="B96" s="80"/>
      <c r="C96" s="39"/>
      <c r="D96" s="53" t="s">
        <v>90</v>
      </c>
      <c r="E96" s="91"/>
      <c r="F96" s="93"/>
      <c r="G96" s="78"/>
      <c r="H96" s="44"/>
    </row>
    <row r="97" spans="1:8">
      <c r="A97" s="38"/>
      <c r="B97" s="39"/>
      <c r="C97" s="39"/>
      <c r="D97" s="53" t="s">
        <v>91</v>
      </c>
      <c r="E97" s="91"/>
      <c r="F97" s="42">
        <f>(194.448+41.247)*120/1000</f>
        <v>28.283399999999997</v>
      </c>
      <c r="G97" s="78"/>
      <c r="H97" s="44"/>
    </row>
    <row r="98" spans="1:8">
      <c r="A98" s="38"/>
      <c r="B98" s="39"/>
      <c r="C98" s="39"/>
      <c r="D98" s="53"/>
      <c r="E98" s="91"/>
      <c r="F98" s="42"/>
      <c r="G98" s="78"/>
      <c r="H98" s="44"/>
    </row>
    <row r="99" spans="1:8">
      <c r="A99" s="38"/>
      <c r="B99" s="39"/>
      <c r="C99" s="39"/>
      <c r="D99" s="53" t="s">
        <v>210</v>
      </c>
      <c r="E99" s="91"/>
      <c r="F99" s="42"/>
      <c r="G99" s="78"/>
      <c r="H99" s="44"/>
    </row>
    <row r="100" spans="1:8" ht="25.5">
      <c r="A100" s="38"/>
      <c r="B100" s="39"/>
      <c r="C100" s="39"/>
      <c r="D100" s="53" t="s">
        <v>243</v>
      </c>
      <c r="E100" s="91"/>
      <c r="F100" s="42"/>
      <c r="G100" s="78"/>
      <c r="H100" s="44"/>
    </row>
    <row r="101" spans="1:8" ht="51">
      <c r="A101" s="38"/>
      <c r="B101" s="39"/>
      <c r="C101" s="39"/>
      <c r="D101" s="53" t="s">
        <v>253</v>
      </c>
      <c r="E101" s="91"/>
      <c r="F101" s="42"/>
      <c r="G101" s="78"/>
      <c r="H101" s="44"/>
    </row>
    <row r="102" spans="1:8">
      <c r="A102" s="38"/>
      <c r="B102" s="39"/>
      <c r="C102" s="39"/>
      <c r="D102" s="53" t="s">
        <v>256</v>
      </c>
      <c r="E102" s="91"/>
      <c r="F102" s="42"/>
      <c r="G102" s="78"/>
      <c r="H102" s="44"/>
    </row>
    <row r="103" spans="1:8">
      <c r="A103" s="38"/>
      <c r="B103" s="39"/>
      <c r="C103" s="39"/>
      <c r="D103" s="53" t="s">
        <v>257</v>
      </c>
      <c r="E103" s="91"/>
      <c r="F103" s="42"/>
      <c r="G103" s="78"/>
      <c r="H103" s="44"/>
    </row>
    <row r="104" spans="1:8">
      <c r="A104" s="38"/>
      <c r="B104" s="39"/>
      <c r="C104" s="39"/>
      <c r="D104" s="53" t="s">
        <v>258</v>
      </c>
      <c r="E104" s="91"/>
      <c r="F104" s="42"/>
      <c r="G104" s="78"/>
      <c r="H104" s="44"/>
    </row>
    <row r="105" spans="1:8">
      <c r="A105" s="38"/>
      <c r="B105" s="39"/>
      <c r="C105" s="39"/>
      <c r="D105" s="53" t="s">
        <v>259</v>
      </c>
      <c r="E105" s="91"/>
      <c r="F105" s="42"/>
      <c r="G105" s="78"/>
      <c r="H105" s="44"/>
    </row>
    <row r="106" spans="1:8">
      <c r="A106" s="38"/>
      <c r="B106" s="39"/>
      <c r="C106" s="39"/>
      <c r="D106" s="53" t="s">
        <v>260</v>
      </c>
      <c r="E106" s="91"/>
      <c r="F106" s="42"/>
      <c r="G106" s="78"/>
      <c r="H106" s="44"/>
    </row>
    <row r="107" spans="1:8" ht="25.5">
      <c r="A107" s="38"/>
      <c r="B107" s="39"/>
      <c r="C107" s="39"/>
      <c r="D107" s="53" t="s">
        <v>254</v>
      </c>
      <c r="E107" s="91"/>
      <c r="F107" s="42"/>
      <c r="G107" s="78"/>
      <c r="H107" s="44"/>
    </row>
    <row r="108" spans="1:8">
      <c r="A108" s="38"/>
      <c r="B108" s="39"/>
      <c r="C108" s="39"/>
      <c r="D108" s="53" t="s">
        <v>261</v>
      </c>
      <c r="E108" s="91"/>
      <c r="F108" s="42"/>
      <c r="G108" s="78"/>
      <c r="H108" s="44"/>
    </row>
    <row r="109" spans="1:8" ht="51">
      <c r="A109" s="38"/>
      <c r="B109" s="39"/>
      <c r="C109" s="39"/>
      <c r="D109" s="53" t="s">
        <v>255</v>
      </c>
      <c r="E109" s="91"/>
      <c r="F109" s="42"/>
      <c r="G109" s="78"/>
      <c r="H109" s="44"/>
    </row>
    <row r="110" spans="1:8">
      <c r="A110" s="38"/>
      <c r="B110" s="39"/>
      <c r="C110" s="39"/>
      <c r="D110" s="53" t="s">
        <v>262</v>
      </c>
      <c r="E110" s="91"/>
      <c r="F110" s="42"/>
      <c r="G110" s="78"/>
      <c r="H110" s="44"/>
    </row>
    <row r="111" spans="1:8">
      <c r="A111" s="38"/>
      <c r="B111" s="39"/>
      <c r="C111" s="39"/>
      <c r="D111" s="53" t="s">
        <v>263</v>
      </c>
      <c r="E111" s="91"/>
      <c r="F111" s="42"/>
      <c r="G111" s="78"/>
      <c r="H111" s="44"/>
    </row>
    <row r="112" spans="1:8">
      <c r="A112" s="38"/>
      <c r="B112" s="39"/>
      <c r="C112" s="39"/>
      <c r="D112" s="53" t="s">
        <v>264</v>
      </c>
      <c r="E112" s="91"/>
      <c r="F112" s="42"/>
      <c r="G112" s="78"/>
      <c r="H112" s="44"/>
    </row>
    <row r="113" spans="1:8">
      <c r="A113" s="38"/>
      <c r="B113" s="39"/>
      <c r="C113" s="39"/>
      <c r="D113" s="53" t="s">
        <v>265</v>
      </c>
      <c r="E113" s="91"/>
      <c r="F113" s="42"/>
      <c r="G113" s="78"/>
      <c r="H113" s="44"/>
    </row>
    <row r="114" spans="1:8">
      <c r="A114" s="24">
        <v>7</v>
      </c>
      <c r="B114" s="33" t="s">
        <v>138</v>
      </c>
      <c r="C114" s="75">
        <v>264239</v>
      </c>
      <c r="D114" s="76" t="s">
        <v>92</v>
      </c>
      <c r="E114" s="28" t="s">
        <v>93</v>
      </c>
      <c r="F114" s="29">
        <f>F115</f>
        <v>756</v>
      </c>
      <c r="G114" s="45"/>
      <c r="H114" s="31">
        <f>ROUND((G114*F114),2)</f>
        <v>0</v>
      </c>
    </row>
    <row r="115" spans="1:8">
      <c r="A115" s="38"/>
      <c r="B115" s="39"/>
      <c r="C115" s="39"/>
      <c r="D115" s="53" t="s">
        <v>94</v>
      </c>
      <c r="E115" s="77"/>
      <c r="F115" s="42">
        <f>4*189</f>
        <v>756</v>
      </c>
      <c r="G115" s="78"/>
      <c r="H115" s="44"/>
    </row>
    <row r="116" spans="1:8">
      <c r="A116" s="38"/>
      <c r="B116" s="39"/>
      <c r="C116" s="39"/>
      <c r="D116" s="53"/>
      <c r="E116" s="77"/>
      <c r="F116" s="42"/>
      <c r="G116" s="78"/>
      <c r="H116" s="44"/>
    </row>
    <row r="117" spans="1:8">
      <c r="A117" s="38"/>
      <c r="B117" s="39"/>
      <c r="C117" s="39"/>
      <c r="D117" s="53" t="s">
        <v>210</v>
      </c>
      <c r="E117" s="77"/>
      <c r="F117" s="42"/>
      <c r="G117" s="78"/>
      <c r="H117" s="44"/>
    </row>
    <row r="118" spans="1:8" ht="25.5">
      <c r="A118" s="38"/>
      <c r="B118" s="39"/>
      <c r="C118" s="39"/>
      <c r="D118" s="53" t="s">
        <v>266</v>
      </c>
      <c r="E118" s="77"/>
      <c r="F118" s="42"/>
      <c r="G118" s="78"/>
      <c r="H118" s="44"/>
    </row>
    <row r="119" spans="1:8">
      <c r="A119" s="38"/>
      <c r="B119" s="39"/>
      <c r="C119" s="39"/>
      <c r="D119" s="53" t="s">
        <v>267</v>
      </c>
      <c r="E119" s="77"/>
      <c r="F119" s="42"/>
      <c r="G119" s="78"/>
      <c r="H119" s="44"/>
    </row>
    <row r="120" spans="1:8">
      <c r="A120" s="38"/>
      <c r="B120" s="39"/>
      <c r="C120" s="39"/>
      <c r="D120" s="53" t="s">
        <v>270</v>
      </c>
      <c r="E120" s="77"/>
      <c r="F120" s="42"/>
      <c r="G120" s="78"/>
      <c r="H120" s="44"/>
    </row>
    <row r="121" spans="1:8" ht="25.5">
      <c r="A121" s="38"/>
      <c r="B121" s="39"/>
      <c r="C121" s="39"/>
      <c r="D121" s="53" t="s">
        <v>268</v>
      </c>
      <c r="E121" s="77"/>
      <c r="F121" s="42"/>
      <c r="G121" s="78"/>
      <c r="H121" s="44"/>
    </row>
    <row r="122" spans="1:8" ht="25.5">
      <c r="A122" s="38"/>
      <c r="B122" s="39"/>
      <c r="C122" s="39"/>
      <c r="D122" s="53" t="s">
        <v>271</v>
      </c>
      <c r="E122" s="77"/>
      <c r="F122" s="42"/>
      <c r="G122" s="78"/>
      <c r="H122" s="44"/>
    </row>
    <row r="123" spans="1:8">
      <c r="A123" s="38"/>
      <c r="B123" s="39"/>
      <c r="C123" s="39"/>
      <c r="D123" s="53" t="s">
        <v>269</v>
      </c>
      <c r="E123" s="77"/>
      <c r="F123" s="42"/>
      <c r="G123" s="78"/>
      <c r="H123" s="44"/>
    </row>
    <row r="124" spans="1:8">
      <c r="A124" s="38"/>
      <c r="B124" s="39"/>
      <c r="C124" s="39"/>
      <c r="D124" s="53" t="s">
        <v>272</v>
      </c>
      <c r="E124" s="77"/>
      <c r="F124" s="42"/>
      <c r="G124" s="78"/>
      <c r="H124" s="44"/>
    </row>
    <row r="125" spans="1:8">
      <c r="A125" s="38"/>
      <c r="B125" s="39"/>
      <c r="C125" s="39"/>
      <c r="D125" s="53" t="s">
        <v>273</v>
      </c>
      <c r="E125" s="77"/>
      <c r="F125" s="42"/>
      <c r="G125" s="78"/>
      <c r="H125" s="44"/>
    </row>
    <row r="126" spans="1:8">
      <c r="A126" s="38"/>
      <c r="B126" s="39"/>
      <c r="C126" s="39"/>
      <c r="D126" s="53" t="s">
        <v>274</v>
      </c>
      <c r="E126" s="77"/>
      <c r="F126" s="42"/>
      <c r="G126" s="78"/>
      <c r="H126" s="44"/>
    </row>
    <row r="127" spans="1:8">
      <c r="A127" s="38"/>
      <c r="B127" s="39"/>
      <c r="C127" s="39"/>
      <c r="D127" s="53" t="s">
        <v>275</v>
      </c>
      <c r="E127" s="77"/>
      <c r="F127" s="42"/>
      <c r="G127" s="78"/>
      <c r="H127" s="44"/>
    </row>
    <row r="128" spans="1:8">
      <c r="A128" s="38"/>
      <c r="B128" s="39"/>
      <c r="C128" s="39"/>
      <c r="D128" s="53" t="s">
        <v>276</v>
      </c>
      <c r="E128" s="77"/>
      <c r="F128" s="42"/>
      <c r="G128" s="78"/>
      <c r="H128" s="44"/>
    </row>
    <row r="129" spans="1:8">
      <c r="A129" s="142"/>
      <c r="B129" s="143"/>
      <c r="C129" s="144" t="s">
        <v>95</v>
      </c>
      <c r="D129" s="145" t="s">
        <v>96</v>
      </c>
      <c r="E129" s="146"/>
      <c r="F129" s="147"/>
      <c r="G129" s="148"/>
      <c r="H129" s="149"/>
    </row>
    <row r="130" spans="1:8">
      <c r="A130" s="177">
        <v>8</v>
      </c>
      <c r="B130" s="170" t="s">
        <v>138</v>
      </c>
      <c r="C130" s="178">
        <v>33794</v>
      </c>
      <c r="D130" s="179" t="s">
        <v>97</v>
      </c>
      <c r="E130" s="178" t="s">
        <v>43</v>
      </c>
      <c r="F130" s="180">
        <f>SUM(F131:F132)</f>
        <v>30.212088000000001</v>
      </c>
      <c r="G130" s="175"/>
      <c r="H130" s="176">
        <f>ROUND((G130*F130),2)</f>
        <v>0</v>
      </c>
    </row>
    <row r="131" spans="1:8">
      <c r="A131" s="62"/>
      <c r="B131" s="63"/>
      <c r="C131" s="63"/>
      <c r="D131" s="53" t="s">
        <v>98</v>
      </c>
      <c r="E131" s="77"/>
      <c r="F131" s="68">
        <f>3.8*42.6*0.001*159</f>
        <v>25.73892</v>
      </c>
      <c r="G131" s="66"/>
      <c r="H131" s="67"/>
    </row>
    <row r="132" spans="1:8">
      <c r="A132" s="62"/>
      <c r="B132" s="63"/>
      <c r="C132" s="63"/>
      <c r="D132" s="53" t="s">
        <v>99</v>
      </c>
      <c r="E132" s="77"/>
      <c r="F132" s="68">
        <f>(4.2*17*2+0.006*0.1*3.6*7850)*0.001*28</f>
        <v>4.4731680000000011</v>
      </c>
      <c r="G132" s="66"/>
      <c r="H132" s="67"/>
    </row>
    <row r="133" spans="1:8">
      <c r="A133" s="62"/>
      <c r="B133" s="63"/>
      <c r="C133" s="63"/>
      <c r="D133" s="135" t="s">
        <v>137</v>
      </c>
      <c r="E133" s="77"/>
      <c r="F133" s="139">
        <f>SUM(F131:F132)</f>
        <v>30.212088000000001</v>
      </c>
      <c r="G133" s="66"/>
      <c r="H133" s="67"/>
    </row>
    <row r="134" spans="1:8">
      <c r="A134" s="62"/>
      <c r="B134" s="63"/>
      <c r="C134" s="63"/>
      <c r="D134" s="53"/>
      <c r="E134" s="77"/>
      <c r="F134" s="68"/>
      <c r="G134" s="66"/>
      <c r="H134" s="67"/>
    </row>
    <row r="135" spans="1:8">
      <c r="A135" s="62"/>
      <c r="B135" s="63"/>
      <c r="C135" s="63"/>
      <c r="D135" s="53" t="s">
        <v>210</v>
      </c>
      <c r="E135" s="77"/>
      <c r="F135" s="68"/>
      <c r="G135" s="66"/>
      <c r="H135" s="67"/>
    </row>
    <row r="136" spans="1:8" ht="25.5">
      <c r="A136" s="62"/>
      <c r="B136" s="63"/>
      <c r="C136" s="63"/>
      <c r="D136" s="53" t="s">
        <v>277</v>
      </c>
      <c r="E136" s="77"/>
      <c r="F136" s="68"/>
      <c r="G136" s="66"/>
      <c r="H136" s="67"/>
    </row>
    <row r="137" spans="1:8" ht="38.25">
      <c r="A137" s="62"/>
      <c r="B137" s="63"/>
      <c r="C137" s="63"/>
      <c r="D137" s="53" t="s">
        <v>278</v>
      </c>
      <c r="E137" s="77"/>
      <c r="F137" s="68"/>
      <c r="G137" s="66"/>
      <c r="H137" s="67"/>
    </row>
    <row r="138" spans="1:8">
      <c r="A138" s="62"/>
      <c r="B138" s="63"/>
      <c r="C138" s="63"/>
      <c r="D138" s="53" t="s">
        <v>279</v>
      </c>
      <c r="E138" s="77"/>
      <c r="F138" s="68"/>
      <c r="G138" s="66"/>
      <c r="H138" s="67"/>
    </row>
    <row r="139" spans="1:8" ht="25.5">
      <c r="A139" s="62"/>
      <c r="B139" s="63"/>
      <c r="C139" s="63"/>
      <c r="D139" s="53" t="s">
        <v>280</v>
      </c>
      <c r="E139" s="77"/>
      <c r="F139" s="68"/>
      <c r="G139" s="66"/>
      <c r="H139" s="67"/>
    </row>
    <row r="140" spans="1:8" ht="38.25">
      <c r="A140" s="62"/>
      <c r="B140" s="63"/>
      <c r="C140" s="63"/>
      <c r="D140" s="53" t="s">
        <v>281</v>
      </c>
      <c r="E140" s="77"/>
      <c r="F140" s="68"/>
      <c r="G140" s="66"/>
      <c r="H140" s="67"/>
    </row>
    <row r="141" spans="1:8" ht="25.5">
      <c r="A141" s="62"/>
      <c r="B141" s="63"/>
      <c r="C141" s="63"/>
      <c r="D141" s="53" t="s">
        <v>282</v>
      </c>
      <c r="E141" s="77"/>
      <c r="F141" s="68"/>
      <c r="G141" s="66"/>
      <c r="H141" s="67"/>
    </row>
    <row r="142" spans="1:8">
      <c r="A142" s="62"/>
      <c r="B142" s="63"/>
      <c r="C142" s="63"/>
      <c r="D142" s="53" t="s">
        <v>283</v>
      </c>
      <c r="E142" s="77"/>
      <c r="F142" s="68"/>
      <c r="G142" s="66"/>
      <c r="H142" s="67"/>
    </row>
    <row r="143" spans="1:8">
      <c r="A143" s="62"/>
      <c r="B143" s="63"/>
      <c r="C143" s="63"/>
      <c r="D143" s="53" t="s">
        <v>284</v>
      </c>
      <c r="E143" s="77"/>
      <c r="F143" s="68"/>
      <c r="G143" s="66"/>
      <c r="H143" s="67"/>
    </row>
    <row r="144" spans="1:8" ht="25.5">
      <c r="A144" s="62"/>
      <c r="B144" s="63"/>
      <c r="C144" s="63"/>
      <c r="D144" s="53" t="s">
        <v>285</v>
      </c>
      <c r="E144" s="77"/>
      <c r="F144" s="68"/>
      <c r="G144" s="66"/>
      <c r="H144" s="67"/>
    </row>
    <row r="145" spans="1:8" ht="25.5">
      <c r="A145" s="62"/>
      <c r="B145" s="63"/>
      <c r="C145" s="63"/>
      <c r="D145" s="53" t="s">
        <v>286</v>
      </c>
      <c r="E145" s="77"/>
      <c r="F145" s="68"/>
      <c r="G145" s="66"/>
      <c r="H145" s="67"/>
    </row>
    <row r="146" spans="1:8" ht="25.5">
      <c r="A146" s="62"/>
      <c r="B146" s="63"/>
      <c r="C146" s="63"/>
      <c r="D146" s="53" t="s">
        <v>287</v>
      </c>
      <c r="E146" s="77"/>
      <c r="F146" s="68"/>
      <c r="G146" s="66"/>
      <c r="H146" s="67"/>
    </row>
    <row r="147" spans="1:8" ht="25.5">
      <c r="A147" s="62"/>
      <c r="B147" s="63"/>
      <c r="C147" s="63"/>
      <c r="D147" s="53" t="s">
        <v>288</v>
      </c>
      <c r="E147" s="77"/>
      <c r="F147" s="68"/>
      <c r="G147" s="66"/>
      <c r="H147" s="67"/>
    </row>
    <row r="148" spans="1:8">
      <c r="A148" s="62"/>
      <c r="B148" s="63"/>
      <c r="C148" s="63"/>
      <c r="D148" s="53" t="s">
        <v>289</v>
      </c>
      <c r="E148" s="77"/>
      <c r="F148" s="68"/>
      <c r="G148" s="66"/>
      <c r="H148" s="67"/>
    </row>
    <row r="149" spans="1:8">
      <c r="A149" s="62"/>
      <c r="B149" s="63"/>
      <c r="C149" s="63"/>
      <c r="D149" s="53" t="s">
        <v>290</v>
      </c>
      <c r="E149" s="77"/>
      <c r="F149" s="68"/>
      <c r="G149" s="66"/>
      <c r="H149" s="67"/>
    </row>
    <row r="150" spans="1:8">
      <c r="A150" s="62"/>
      <c r="B150" s="63"/>
      <c r="C150" s="63"/>
      <c r="D150" s="53" t="s">
        <v>291</v>
      </c>
      <c r="E150" s="77"/>
      <c r="F150" s="68"/>
      <c r="G150" s="66"/>
      <c r="H150" s="67"/>
    </row>
    <row r="151" spans="1:8">
      <c r="A151" s="62"/>
      <c r="B151" s="63"/>
      <c r="C151" s="63"/>
      <c r="D151" s="53" t="s">
        <v>292</v>
      </c>
      <c r="E151" s="77"/>
      <c r="F151" s="68"/>
      <c r="G151" s="66"/>
      <c r="H151" s="67"/>
    </row>
    <row r="152" spans="1:8">
      <c r="A152" s="177">
        <v>9</v>
      </c>
      <c r="B152" s="170" t="s">
        <v>138</v>
      </c>
      <c r="C152" s="178">
        <v>34712</v>
      </c>
      <c r="D152" s="179" t="s">
        <v>100</v>
      </c>
      <c r="E152" s="178" t="s">
        <v>77</v>
      </c>
      <c r="F152" s="180">
        <f>F154</f>
        <v>365</v>
      </c>
      <c r="G152" s="175"/>
      <c r="H152" s="176">
        <f>ROUND((G152*F152),2)</f>
        <v>0</v>
      </c>
    </row>
    <row r="153" spans="1:8">
      <c r="A153" s="62"/>
      <c r="B153" s="63"/>
      <c r="C153" s="63"/>
      <c r="D153" s="53" t="s">
        <v>101</v>
      </c>
      <c r="E153" s="63"/>
      <c r="F153" s="65"/>
      <c r="G153" s="66"/>
      <c r="H153" s="67"/>
    </row>
    <row r="154" spans="1:8">
      <c r="A154" s="62"/>
      <c r="B154" s="63"/>
      <c r="C154" s="63"/>
      <c r="D154" s="53" t="s">
        <v>102</v>
      </c>
      <c r="E154" s="98"/>
      <c r="F154" s="68">
        <f>730*0.5</f>
        <v>365</v>
      </c>
      <c r="G154" s="66"/>
      <c r="H154" s="67"/>
    </row>
    <row r="155" spans="1:8">
      <c r="A155" s="62"/>
      <c r="B155" s="63"/>
      <c r="C155" s="63"/>
      <c r="D155" s="53"/>
      <c r="E155" s="98"/>
      <c r="F155" s="68"/>
      <c r="G155" s="66"/>
      <c r="H155" s="67"/>
    </row>
    <row r="156" spans="1:8">
      <c r="A156" s="62"/>
      <c r="B156" s="63"/>
      <c r="C156" s="63"/>
      <c r="D156" s="53" t="s">
        <v>210</v>
      </c>
      <c r="E156" s="98"/>
      <c r="F156" s="68"/>
      <c r="G156" s="66"/>
      <c r="H156" s="67"/>
    </row>
    <row r="157" spans="1:8" ht="38.25">
      <c r="A157" s="62"/>
      <c r="B157" s="63"/>
      <c r="C157" s="63"/>
      <c r="D157" s="53" t="s">
        <v>293</v>
      </c>
      <c r="E157" s="98"/>
      <c r="F157" s="68"/>
      <c r="G157" s="66"/>
      <c r="H157" s="67"/>
    </row>
    <row r="158" spans="1:8" ht="25.5">
      <c r="A158" s="62"/>
      <c r="B158" s="63"/>
      <c r="C158" s="63"/>
      <c r="D158" s="53" t="s">
        <v>294</v>
      </c>
      <c r="E158" s="98"/>
      <c r="F158" s="68"/>
      <c r="G158" s="66"/>
      <c r="H158" s="67"/>
    </row>
    <row r="159" spans="1:8">
      <c r="A159" s="62"/>
      <c r="B159" s="63"/>
      <c r="C159" s="63"/>
      <c r="D159" s="53" t="s">
        <v>295</v>
      </c>
      <c r="E159" s="98"/>
      <c r="F159" s="68"/>
      <c r="G159" s="66"/>
      <c r="H159" s="67"/>
    </row>
    <row r="160" spans="1:8" ht="25.5">
      <c r="A160" s="62"/>
      <c r="B160" s="63"/>
      <c r="C160" s="63"/>
      <c r="D160" s="53" t="s">
        <v>296</v>
      </c>
      <c r="E160" s="98"/>
      <c r="F160" s="68"/>
      <c r="G160" s="66"/>
      <c r="H160" s="67"/>
    </row>
    <row r="161" spans="1:8" ht="25.5">
      <c r="A161" s="62"/>
      <c r="B161" s="63"/>
      <c r="C161" s="63"/>
      <c r="D161" s="53" t="s">
        <v>297</v>
      </c>
      <c r="E161" s="98"/>
      <c r="F161" s="68"/>
      <c r="G161" s="66"/>
      <c r="H161" s="67"/>
    </row>
    <row r="162" spans="1:8">
      <c r="A162" s="62"/>
      <c r="B162" s="63"/>
      <c r="C162" s="63"/>
      <c r="D162" s="53" t="s">
        <v>298</v>
      </c>
      <c r="E162" s="98"/>
      <c r="F162" s="68"/>
      <c r="G162" s="66"/>
      <c r="H162" s="67"/>
    </row>
    <row r="163" spans="1:8">
      <c r="A163" s="62"/>
      <c r="B163" s="63"/>
      <c r="C163" s="63"/>
      <c r="D163" s="53" t="s">
        <v>299</v>
      </c>
      <c r="E163" s="98"/>
      <c r="F163" s="68"/>
      <c r="G163" s="66"/>
      <c r="H163" s="67"/>
    </row>
    <row r="164" spans="1:8">
      <c r="A164" s="62"/>
      <c r="B164" s="63"/>
      <c r="C164" s="63"/>
      <c r="D164" s="53" t="s">
        <v>300</v>
      </c>
      <c r="E164" s="98"/>
      <c r="F164" s="68"/>
      <c r="G164" s="66"/>
      <c r="H164" s="67"/>
    </row>
    <row r="165" spans="1:8">
      <c r="A165" s="62"/>
      <c r="B165" s="63"/>
      <c r="C165" s="63"/>
      <c r="D165" s="53" t="s">
        <v>301</v>
      </c>
      <c r="E165" s="98"/>
      <c r="F165" s="68"/>
      <c r="G165" s="66"/>
      <c r="H165" s="67"/>
    </row>
    <row r="166" spans="1:8" ht="25.5">
      <c r="A166" s="62"/>
      <c r="B166" s="63"/>
      <c r="C166" s="63"/>
      <c r="D166" s="53" t="s">
        <v>302</v>
      </c>
      <c r="E166" s="98"/>
      <c r="F166" s="68"/>
      <c r="G166" s="66"/>
      <c r="H166" s="67"/>
    </row>
    <row r="167" spans="1:8">
      <c r="A167" s="62"/>
      <c r="B167" s="63"/>
      <c r="C167" s="63"/>
      <c r="D167" s="53" t="s">
        <v>303</v>
      </c>
      <c r="E167" s="98"/>
      <c r="F167" s="68"/>
      <c r="G167" s="66"/>
      <c r="H167" s="67"/>
    </row>
    <row r="168" spans="1:8" ht="38.25">
      <c r="A168" s="62"/>
      <c r="B168" s="63"/>
      <c r="C168" s="63"/>
      <c r="D168" s="53" t="s">
        <v>304</v>
      </c>
      <c r="E168" s="98"/>
      <c r="F168" s="68"/>
      <c r="G168" s="66"/>
      <c r="H168" s="67"/>
    </row>
    <row r="169" spans="1:8">
      <c r="A169" s="177">
        <v>10</v>
      </c>
      <c r="B169" s="181"/>
      <c r="C169" s="178" t="s">
        <v>103</v>
      </c>
      <c r="D169" s="179" t="s">
        <v>104</v>
      </c>
      <c r="E169" s="178" t="s">
        <v>77</v>
      </c>
      <c r="F169" s="180">
        <f>F171</f>
        <v>1825</v>
      </c>
      <c r="G169" s="175"/>
      <c r="H169" s="176">
        <f>ROUND((G169*F169),2)</f>
        <v>0</v>
      </c>
    </row>
    <row r="170" spans="1:8" ht="25.5">
      <c r="A170" s="62"/>
      <c r="B170" s="63"/>
      <c r="C170" s="63"/>
      <c r="D170" s="53" t="s">
        <v>105</v>
      </c>
      <c r="E170" s="63"/>
      <c r="F170" s="65"/>
      <c r="G170" s="66"/>
      <c r="H170" s="67"/>
    </row>
    <row r="171" spans="1:8">
      <c r="A171" s="99"/>
      <c r="B171" s="78"/>
      <c r="C171" s="78"/>
      <c r="D171" s="53" t="s">
        <v>106</v>
      </c>
      <c r="E171" s="98"/>
      <c r="F171" s="68">
        <f>730*2.5</f>
        <v>1825</v>
      </c>
      <c r="G171" s="78"/>
      <c r="H171" s="100"/>
    </row>
    <row r="172" spans="1:8">
      <c r="A172" s="142"/>
      <c r="B172" s="143"/>
      <c r="C172" s="144" t="s">
        <v>107</v>
      </c>
      <c r="D172" s="145" t="s">
        <v>108</v>
      </c>
      <c r="E172" s="150"/>
      <c r="F172" s="151"/>
      <c r="G172" s="152"/>
      <c r="H172" s="149"/>
    </row>
    <row r="173" spans="1:8">
      <c r="A173" s="177">
        <v>11</v>
      </c>
      <c r="B173" s="181"/>
      <c r="C173" s="178" t="s">
        <v>109</v>
      </c>
      <c r="D173" s="179" t="s">
        <v>110</v>
      </c>
      <c r="E173" s="178" t="s">
        <v>55</v>
      </c>
      <c r="F173" s="180">
        <v>1</v>
      </c>
      <c r="G173" s="175"/>
      <c r="H173" s="176">
        <f>ROUND((G173*F173),2)</f>
        <v>0</v>
      </c>
    </row>
    <row r="174" spans="1:8">
      <c r="A174" s="62"/>
      <c r="B174" s="63"/>
      <c r="C174" s="63"/>
      <c r="D174" s="48" t="s">
        <v>111</v>
      </c>
      <c r="E174" s="63"/>
      <c r="F174" s="65"/>
      <c r="G174" s="66"/>
      <c r="H174" s="67"/>
    </row>
    <row r="175" spans="1:8">
      <c r="A175" s="153"/>
      <c r="B175" s="154"/>
      <c r="C175" s="144" t="s">
        <v>112</v>
      </c>
      <c r="D175" s="145" t="s">
        <v>113</v>
      </c>
      <c r="E175" s="155"/>
      <c r="F175" s="156"/>
      <c r="G175" s="157"/>
      <c r="H175" s="158"/>
    </row>
    <row r="176" spans="1:8">
      <c r="A176" s="177">
        <v>12</v>
      </c>
      <c r="B176" s="181"/>
      <c r="C176" s="178" t="s">
        <v>114</v>
      </c>
      <c r="D176" s="179" t="s">
        <v>115</v>
      </c>
      <c r="E176" s="178" t="s">
        <v>55</v>
      </c>
      <c r="F176" s="180">
        <f>F178</f>
        <v>925</v>
      </c>
      <c r="G176" s="175"/>
      <c r="H176" s="176">
        <f>ROUND((G176*F176),2)</f>
        <v>0</v>
      </c>
    </row>
    <row r="177" spans="1:8">
      <c r="A177" s="62"/>
      <c r="B177" s="63"/>
      <c r="C177" s="63"/>
      <c r="D177" s="53" t="s">
        <v>116</v>
      </c>
      <c r="E177" s="63"/>
      <c r="F177" s="103"/>
      <c r="G177" s="66"/>
      <c r="H177" s="67"/>
    </row>
    <row r="178" spans="1:8">
      <c r="A178" s="62"/>
      <c r="B178" s="63"/>
      <c r="C178" s="63"/>
      <c r="D178" s="53" t="s">
        <v>117</v>
      </c>
      <c r="E178" s="63"/>
      <c r="F178" s="68">
        <f>185*5</f>
        <v>925</v>
      </c>
      <c r="G178" s="66"/>
      <c r="H178" s="67"/>
    </row>
    <row r="179" spans="1:8">
      <c r="A179" s="177">
        <v>13</v>
      </c>
      <c r="B179" s="181"/>
      <c r="C179" s="178" t="s">
        <v>118</v>
      </c>
      <c r="D179" s="179" t="s">
        <v>119</v>
      </c>
      <c r="E179" s="178" t="s">
        <v>93</v>
      </c>
      <c r="F179" s="180">
        <f>F180</f>
        <v>803.00000000000011</v>
      </c>
      <c r="G179" s="175"/>
      <c r="H179" s="176">
        <f>ROUND((G179*F179),2)</f>
        <v>0</v>
      </c>
    </row>
    <row r="180" spans="1:8">
      <c r="A180" s="62"/>
      <c r="B180" s="63"/>
      <c r="C180" s="63"/>
      <c r="D180" s="53" t="s">
        <v>120</v>
      </c>
      <c r="E180" s="63"/>
      <c r="F180" s="68">
        <f>730*1.1</f>
        <v>803.00000000000011</v>
      </c>
      <c r="G180" s="66"/>
      <c r="H180" s="67"/>
    </row>
    <row r="181" spans="1:8">
      <c r="A181" s="142"/>
      <c r="B181" s="143"/>
      <c r="C181" s="144" t="s">
        <v>121</v>
      </c>
      <c r="D181" s="145" t="s">
        <v>122</v>
      </c>
      <c r="E181" s="146"/>
      <c r="F181" s="147"/>
      <c r="G181" s="148"/>
      <c r="H181" s="149"/>
    </row>
    <row r="182" spans="1:8">
      <c r="A182" s="177">
        <v>14</v>
      </c>
      <c r="B182" s="181"/>
      <c r="C182" s="178" t="s">
        <v>123</v>
      </c>
      <c r="D182" s="179" t="s">
        <v>124</v>
      </c>
      <c r="E182" s="178" t="s">
        <v>55</v>
      </c>
      <c r="F182" s="180">
        <v>1</v>
      </c>
      <c r="G182" s="175"/>
      <c r="H182" s="176">
        <f>ROUND((G182*F182),2)</f>
        <v>0</v>
      </c>
    </row>
    <row r="183" spans="1:8">
      <c r="A183" s="101"/>
      <c r="B183" s="102"/>
      <c r="C183" s="102"/>
      <c r="D183" s="104"/>
      <c r="E183" s="59"/>
      <c r="F183" s="60"/>
      <c r="G183" s="43"/>
      <c r="H183" s="44"/>
    </row>
    <row r="184" spans="1:8" ht="25.5">
      <c r="A184" s="177">
        <v>15</v>
      </c>
      <c r="B184" s="170" t="s">
        <v>138</v>
      </c>
      <c r="C184" s="178">
        <v>931241</v>
      </c>
      <c r="D184" s="179" t="s">
        <v>125</v>
      </c>
      <c r="E184" s="178" t="s">
        <v>93</v>
      </c>
      <c r="F184" s="180">
        <f>F186</f>
        <v>60</v>
      </c>
      <c r="G184" s="175"/>
      <c r="H184" s="176">
        <f>ROUND((G184*F184),2)</f>
        <v>0</v>
      </c>
    </row>
    <row r="185" spans="1:8" ht="25.5">
      <c r="A185" s="62"/>
      <c r="B185" s="63"/>
      <c r="C185" s="63"/>
      <c r="D185" s="53" t="s">
        <v>126</v>
      </c>
      <c r="E185" s="63"/>
      <c r="F185" s="65"/>
      <c r="G185" s="66"/>
      <c r="H185" s="67"/>
    </row>
    <row r="186" spans="1:8">
      <c r="A186" s="62"/>
      <c r="B186" s="63"/>
      <c r="C186" s="63"/>
      <c r="D186" s="53" t="s">
        <v>127</v>
      </c>
      <c r="E186" s="63"/>
      <c r="F186" s="68">
        <f>10*2*3</f>
        <v>60</v>
      </c>
      <c r="G186" s="66"/>
      <c r="H186" s="67"/>
    </row>
    <row r="187" spans="1:8">
      <c r="A187" s="62"/>
      <c r="B187" s="63"/>
      <c r="C187" s="63"/>
      <c r="D187" s="53"/>
      <c r="E187" s="63"/>
      <c r="F187" s="68"/>
      <c r="G187" s="66"/>
      <c r="H187" s="67"/>
    </row>
    <row r="188" spans="1:8" ht="25.5">
      <c r="A188" s="62"/>
      <c r="B188" s="63"/>
      <c r="C188" s="63"/>
      <c r="D188" s="53" t="s">
        <v>208</v>
      </c>
      <c r="E188" s="63"/>
      <c r="F188" s="68"/>
      <c r="G188" s="66"/>
      <c r="H188" s="67"/>
    </row>
    <row r="189" spans="1:8">
      <c r="A189" s="24">
        <v>16</v>
      </c>
      <c r="B189" s="33" t="s">
        <v>138</v>
      </c>
      <c r="C189" s="75">
        <v>96616</v>
      </c>
      <c r="D189" s="76" t="s">
        <v>204</v>
      </c>
      <c r="E189" s="28" t="s">
        <v>55</v>
      </c>
      <c r="F189" s="29">
        <f>F190</f>
        <v>187</v>
      </c>
      <c r="G189" s="30"/>
      <c r="H189" s="31">
        <f>F189*G189</f>
        <v>0</v>
      </c>
    </row>
    <row r="190" spans="1:8">
      <c r="A190" s="90"/>
      <c r="B190" s="91"/>
      <c r="C190" s="91"/>
      <c r="D190" s="53" t="s">
        <v>203</v>
      </c>
      <c r="E190" s="92"/>
      <c r="F190" s="50">
        <v>187</v>
      </c>
      <c r="G190" s="66"/>
      <c r="H190" s="67"/>
    </row>
    <row r="191" spans="1:8">
      <c r="A191" s="90"/>
      <c r="B191" s="91"/>
      <c r="C191" s="91"/>
      <c r="D191" s="53"/>
      <c r="E191" s="92"/>
      <c r="F191" s="50"/>
      <c r="G191" s="66"/>
      <c r="H191" s="67"/>
    </row>
    <row r="192" spans="1:8">
      <c r="A192" s="90"/>
      <c r="B192" s="91"/>
      <c r="C192" s="91"/>
      <c r="D192" s="53" t="s">
        <v>210</v>
      </c>
      <c r="E192" s="92"/>
      <c r="F192" s="50"/>
      <c r="G192" s="66"/>
      <c r="H192" s="67"/>
    </row>
    <row r="193" spans="1:8">
      <c r="A193" s="90"/>
      <c r="B193" s="91"/>
      <c r="C193" s="91"/>
      <c r="D193" s="53" t="s">
        <v>305</v>
      </c>
      <c r="E193" s="92"/>
      <c r="F193" s="50"/>
      <c r="G193" s="66"/>
      <c r="H193" s="67"/>
    </row>
    <row r="194" spans="1:8">
      <c r="A194" s="90"/>
      <c r="B194" s="91"/>
      <c r="C194" s="91"/>
      <c r="D194" s="53" t="s">
        <v>212</v>
      </c>
      <c r="E194" s="92"/>
      <c r="F194" s="50"/>
      <c r="G194" s="66"/>
      <c r="H194" s="67"/>
    </row>
    <row r="195" spans="1:8" ht="63.75">
      <c r="A195" s="90"/>
      <c r="B195" s="91"/>
      <c r="C195" s="91"/>
      <c r="D195" s="188" t="s">
        <v>311</v>
      </c>
      <c r="E195" s="92"/>
      <c r="F195" s="50"/>
      <c r="G195" s="66"/>
      <c r="H195" s="67"/>
    </row>
    <row r="196" spans="1:8" ht="25.5">
      <c r="A196" s="90"/>
      <c r="B196" s="91"/>
      <c r="C196" s="91"/>
      <c r="D196" s="53" t="s">
        <v>213</v>
      </c>
      <c r="E196" s="92"/>
      <c r="F196" s="50"/>
      <c r="G196" s="66"/>
      <c r="H196" s="67"/>
    </row>
    <row r="197" spans="1:8">
      <c r="A197" s="24">
        <v>17</v>
      </c>
      <c r="B197" s="33" t="s">
        <v>138</v>
      </c>
      <c r="C197" s="75">
        <v>96618</v>
      </c>
      <c r="D197" s="76" t="s">
        <v>206</v>
      </c>
      <c r="E197" s="28" t="s">
        <v>55</v>
      </c>
      <c r="F197" s="29">
        <f>F198</f>
        <v>2</v>
      </c>
      <c r="G197" s="30"/>
      <c r="H197" s="31">
        <f>F197*G197</f>
        <v>0</v>
      </c>
    </row>
    <row r="198" spans="1:8">
      <c r="A198" s="90"/>
      <c r="B198" s="91"/>
      <c r="C198" s="91"/>
      <c r="D198" s="53" t="s">
        <v>205</v>
      </c>
      <c r="E198" s="92"/>
      <c r="F198" s="50">
        <v>2</v>
      </c>
      <c r="G198" s="66"/>
      <c r="H198" s="67"/>
    </row>
    <row r="199" spans="1:8">
      <c r="A199" s="90"/>
      <c r="B199" s="91"/>
      <c r="C199" s="91"/>
      <c r="D199" s="53"/>
      <c r="E199" s="92"/>
      <c r="F199" s="50"/>
      <c r="G199" s="66"/>
      <c r="H199" s="67"/>
    </row>
    <row r="200" spans="1:8">
      <c r="A200" s="90"/>
      <c r="B200" s="91"/>
      <c r="C200" s="91"/>
      <c r="D200" s="53" t="s">
        <v>210</v>
      </c>
      <c r="E200" s="92"/>
      <c r="F200" s="50"/>
      <c r="G200" s="66"/>
      <c r="H200" s="67"/>
    </row>
    <row r="201" spans="1:8">
      <c r="A201" s="90"/>
      <c r="B201" s="91"/>
      <c r="C201" s="91"/>
      <c r="D201" s="53" t="s">
        <v>211</v>
      </c>
      <c r="E201" s="92"/>
      <c r="F201" s="50"/>
      <c r="G201" s="66"/>
      <c r="H201" s="67"/>
    </row>
    <row r="202" spans="1:8">
      <c r="A202" s="90"/>
      <c r="B202" s="91"/>
      <c r="C202" s="91"/>
      <c r="D202" s="53" t="s">
        <v>212</v>
      </c>
      <c r="E202" s="92"/>
      <c r="F202" s="50"/>
      <c r="G202" s="66"/>
      <c r="H202" s="67"/>
    </row>
    <row r="203" spans="1:8" ht="63.75">
      <c r="A203" s="90"/>
      <c r="B203" s="91"/>
      <c r="C203" s="91"/>
      <c r="D203" s="188" t="s">
        <v>311</v>
      </c>
      <c r="E203" s="92"/>
      <c r="F203" s="50"/>
      <c r="G203" s="66"/>
      <c r="H203" s="67"/>
    </row>
    <row r="204" spans="1:8" ht="25.5">
      <c r="A204" s="90"/>
      <c r="B204" s="91"/>
      <c r="C204" s="91"/>
      <c r="D204" s="53" t="s">
        <v>213</v>
      </c>
      <c r="E204" s="92"/>
      <c r="F204" s="50"/>
      <c r="G204" s="66"/>
      <c r="H204" s="67"/>
    </row>
    <row r="205" spans="1:8" ht="25.5">
      <c r="A205" s="24">
        <v>18</v>
      </c>
      <c r="B205" s="33" t="s">
        <v>138</v>
      </c>
      <c r="C205" s="75">
        <v>96662</v>
      </c>
      <c r="D205" s="76" t="s">
        <v>207</v>
      </c>
      <c r="E205" s="28" t="s">
        <v>77</v>
      </c>
      <c r="F205" s="29">
        <f>F208</f>
        <v>2190</v>
      </c>
      <c r="G205" s="45"/>
      <c r="H205" s="31">
        <f>ROUND((G205*F205),2)</f>
        <v>0</v>
      </c>
    </row>
    <row r="206" spans="1:8">
      <c r="A206" s="38"/>
      <c r="B206" s="39"/>
      <c r="C206" s="39"/>
      <c r="D206" s="48" t="s">
        <v>130</v>
      </c>
      <c r="E206" s="49"/>
      <c r="F206" s="50">
        <f>730*0.6</f>
        <v>438</v>
      </c>
      <c r="G206" s="78"/>
      <c r="H206" s="44"/>
    </row>
    <row r="207" spans="1:8" ht="25.5">
      <c r="A207" s="38"/>
      <c r="B207" s="39"/>
      <c r="C207" s="39"/>
      <c r="D207" s="53" t="s">
        <v>131</v>
      </c>
      <c r="E207" s="98"/>
      <c r="F207" s="68">
        <f>730*2.4</f>
        <v>1752</v>
      </c>
      <c r="G207" s="78"/>
      <c r="H207" s="44"/>
    </row>
    <row r="208" spans="1:8">
      <c r="A208" s="38"/>
      <c r="B208" s="39"/>
      <c r="C208" s="39"/>
      <c r="D208" s="135" t="s">
        <v>137</v>
      </c>
      <c r="E208" s="77"/>
      <c r="F208" s="139">
        <f>SUM(F206:F207)</f>
        <v>2190</v>
      </c>
      <c r="G208" s="78"/>
      <c r="H208" s="44"/>
    </row>
    <row r="209" spans="1:8">
      <c r="A209" s="38"/>
      <c r="B209" s="39"/>
      <c r="C209" s="39"/>
      <c r="D209" s="53"/>
      <c r="E209" s="98"/>
      <c r="F209" s="68"/>
      <c r="G209" s="78"/>
      <c r="H209" s="44"/>
    </row>
    <row r="210" spans="1:8">
      <c r="A210" s="38"/>
      <c r="B210" s="39"/>
      <c r="C210" s="39"/>
      <c r="D210" s="53" t="s">
        <v>210</v>
      </c>
      <c r="E210" s="98"/>
      <c r="F210" s="68"/>
      <c r="G210" s="78"/>
      <c r="H210" s="44"/>
    </row>
    <row r="211" spans="1:8" ht="25.5">
      <c r="A211" s="38"/>
      <c r="B211" s="39"/>
      <c r="C211" s="39"/>
      <c r="D211" s="53" t="s">
        <v>214</v>
      </c>
      <c r="E211" s="98"/>
      <c r="F211" s="68"/>
      <c r="G211" s="78"/>
      <c r="H211" s="44"/>
    </row>
    <row r="212" spans="1:8" ht="25.5">
      <c r="A212" s="38"/>
      <c r="B212" s="39"/>
      <c r="C212" s="39"/>
      <c r="D212" s="53" t="s">
        <v>215</v>
      </c>
      <c r="E212" s="98"/>
      <c r="F212" s="68"/>
      <c r="G212" s="78"/>
      <c r="H212" s="44"/>
    </row>
    <row r="213" spans="1:8">
      <c r="A213" s="38"/>
      <c r="B213" s="39"/>
      <c r="C213" s="39"/>
      <c r="D213" s="53" t="s">
        <v>216</v>
      </c>
      <c r="E213" s="98"/>
      <c r="F213" s="68"/>
      <c r="G213" s="78"/>
      <c r="H213" s="44"/>
    </row>
    <row r="214" spans="1:8" ht="13.5" thickBot="1">
      <c r="A214" s="106"/>
      <c r="B214" s="107"/>
      <c r="C214" s="107"/>
      <c r="D214" s="108" t="s">
        <v>306</v>
      </c>
      <c r="E214" s="120"/>
      <c r="F214" s="121"/>
      <c r="G214" s="122"/>
      <c r="H214" s="109"/>
    </row>
    <row r="215" spans="1:8">
      <c r="A215" s="110"/>
      <c r="B215" s="110"/>
      <c r="C215" s="110"/>
      <c r="D215" s="111"/>
      <c r="E215" s="112"/>
      <c r="F215" s="113"/>
      <c r="G215" s="114"/>
      <c r="H215" s="115"/>
    </row>
  </sheetData>
  <mergeCells count="8">
    <mergeCell ref="G12:G14"/>
    <mergeCell ref="H12:H14"/>
    <mergeCell ref="A12:A14"/>
    <mergeCell ref="B12:B14"/>
    <mergeCell ref="C12:C14"/>
    <mergeCell ref="D12:D14"/>
    <mergeCell ref="E12:E14"/>
    <mergeCell ref="F12:F14"/>
  </mergeCells>
  <conditionalFormatting sqref="G152:G168">
    <cfRule type="cellIs" dxfId="45" priority="17" stopIfTrue="1" operator="lessThan">
      <formula>0</formula>
    </cfRule>
  </conditionalFormatting>
  <conditionalFormatting sqref="G182">
    <cfRule type="cellIs" dxfId="44" priority="12" stopIfTrue="1" operator="lessThan">
      <formula>0</formula>
    </cfRule>
  </conditionalFormatting>
  <conditionalFormatting sqref="G179:G180">
    <cfRule type="cellIs" dxfId="43" priority="15" stopIfTrue="1" operator="lessThan">
      <formula>0</formula>
    </cfRule>
  </conditionalFormatting>
  <conditionalFormatting sqref="G184:G188">
    <cfRule type="cellIs" dxfId="42" priority="14" stopIfTrue="1" operator="lessThan">
      <formula>0</formula>
    </cfRule>
  </conditionalFormatting>
  <conditionalFormatting sqref="G176:G177">
    <cfRule type="cellIs" dxfId="41" priority="13" stopIfTrue="1" operator="lessThan">
      <formula>0</formula>
    </cfRule>
  </conditionalFormatting>
  <conditionalFormatting sqref="G178">
    <cfRule type="cellIs" dxfId="40" priority="6" stopIfTrue="1" operator="lessThan">
      <formula>0</formula>
    </cfRule>
  </conditionalFormatting>
  <conditionalFormatting sqref="G173:G174">
    <cfRule type="cellIs" dxfId="39" priority="1" stopIfTrue="1" operator="lessThan">
      <formula>0</formula>
    </cfRule>
  </conditionalFormatting>
  <pageMargins left="0.7" right="0.7" top="0.78740157499999996" bottom="0.78740157499999996" header="0.3" footer="0.3"/>
  <pageSetup paperSize="9" scale="8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6"/>
  <sheetViews>
    <sheetView workbookViewId="0">
      <selection activeCell="B3" sqref="B3"/>
    </sheetView>
  </sheetViews>
  <sheetFormatPr defaultRowHeight="12.75"/>
  <cols>
    <col min="2" max="2" width="11.75" customWidth="1"/>
    <col min="4" max="4" width="50.5" customWidth="1"/>
    <col min="6" max="6" width="12.625" customWidth="1"/>
    <col min="7" max="7" width="12.5" customWidth="1"/>
    <col min="8" max="8" width="18.25" customWidth="1"/>
    <col min="11" max="11" width="14.625" bestFit="1" customWidth="1"/>
  </cols>
  <sheetData>
    <row r="1" spans="1:8" ht="15">
      <c r="A1" s="4" t="s">
        <v>8</v>
      </c>
    </row>
    <row r="3" spans="1:8">
      <c r="A3" t="s">
        <v>9</v>
      </c>
      <c r="B3" s="23" t="s">
        <v>378</v>
      </c>
    </row>
    <row r="4" spans="1:8">
      <c r="B4" s="23"/>
    </row>
    <row r="5" spans="1:8">
      <c r="A5" t="s">
        <v>10</v>
      </c>
      <c r="B5" s="23" t="s">
        <v>377</v>
      </c>
    </row>
    <row r="6" spans="1:8">
      <c r="B6" s="23"/>
    </row>
    <row r="7" spans="1:8">
      <c r="A7" t="s">
        <v>17</v>
      </c>
      <c r="B7" s="23" t="s">
        <v>325</v>
      </c>
    </row>
    <row r="8" spans="1:8">
      <c r="B8" s="23"/>
    </row>
    <row r="9" spans="1:8">
      <c r="A9" t="s">
        <v>11</v>
      </c>
      <c r="B9" s="23" t="s">
        <v>20</v>
      </c>
      <c r="F9" t="s">
        <v>19</v>
      </c>
      <c r="G9" s="2">
        <f>Rekapitulace!I7</f>
        <v>44446</v>
      </c>
    </row>
    <row r="11" spans="1:8" ht="13.5" thickBot="1">
      <c r="G11" s="186" t="s">
        <v>137</v>
      </c>
      <c r="H11" s="187">
        <f>SUM(H15:H333)</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c r="A15" s="161"/>
      <c r="B15" s="162"/>
      <c r="C15" s="163" t="s">
        <v>70</v>
      </c>
      <c r="D15" s="164" t="s">
        <v>71</v>
      </c>
      <c r="E15" s="165"/>
      <c r="F15" s="166"/>
      <c r="G15" s="167"/>
      <c r="H15" s="168"/>
    </row>
    <row r="16" spans="1:8">
      <c r="A16" s="24">
        <v>1</v>
      </c>
      <c r="B16" s="33" t="s">
        <v>138</v>
      </c>
      <c r="C16" s="75">
        <v>17411</v>
      </c>
      <c r="D16" s="76" t="s">
        <v>72</v>
      </c>
      <c r="E16" s="28" t="s">
        <v>73</v>
      </c>
      <c r="F16" s="29">
        <f>F18</f>
        <v>7.9178399999999991</v>
      </c>
      <c r="G16" s="45"/>
      <c r="H16" s="31">
        <f>ROUND((G16*F16),2)</f>
        <v>0</v>
      </c>
    </row>
    <row r="17" spans="1:11" ht="16.5">
      <c r="A17" s="38"/>
      <c r="B17" s="39"/>
      <c r="C17" s="39"/>
      <c r="D17" s="53" t="s">
        <v>74</v>
      </c>
      <c r="E17" s="77"/>
      <c r="F17" s="42"/>
      <c r="G17" s="182"/>
      <c r="H17" s="44"/>
    </row>
    <row r="18" spans="1:11">
      <c r="A18" s="38"/>
      <c r="B18" s="39"/>
      <c r="C18" s="74"/>
      <c r="D18" s="40" t="s">
        <v>152</v>
      </c>
      <c r="E18" s="77"/>
      <c r="F18" s="68">
        <f>3.142*0.3*0.3*0.7*40</f>
        <v>7.9178399999999991</v>
      </c>
      <c r="G18" s="61"/>
      <c r="H18" s="44"/>
      <c r="K18" s="229"/>
    </row>
    <row r="19" spans="1:11">
      <c r="A19" s="38"/>
      <c r="B19" s="39"/>
      <c r="C19" s="74"/>
      <c r="D19" s="40"/>
      <c r="E19" s="77"/>
      <c r="F19" s="68"/>
      <c r="G19" s="61"/>
      <c r="H19" s="44"/>
    </row>
    <row r="20" spans="1:11">
      <c r="A20" s="38"/>
      <c r="B20" s="39"/>
      <c r="C20" s="74"/>
      <c r="D20" s="40" t="s">
        <v>210</v>
      </c>
      <c r="E20" s="77"/>
      <c r="F20" s="68"/>
      <c r="G20" s="61"/>
      <c r="H20" s="44"/>
    </row>
    <row r="21" spans="1:11" ht="25.5">
      <c r="A21" s="38"/>
      <c r="B21" s="39"/>
      <c r="C21" s="74"/>
      <c r="D21" s="40" t="s">
        <v>220</v>
      </c>
      <c r="E21" s="77"/>
      <c r="F21" s="68"/>
      <c r="G21" s="61"/>
      <c r="H21" s="44"/>
    </row>
    <row r="22" spans="1:11" ht="38.25">
      <c r="A22" s="38"/>
      <c r="B22" s="39"/>
      <c r="C22" s="74"/>
      <c r="D22" s="40" t="s">
        <v>217</v>
      </c>
      <c r="E22" s="77"/>
      <c r="F22" s="68"/>
      <c r="G22" s="61"/>
      <c r="H22" s="44"/>
    </row>
    <row r="23" spans="1:11">
      <c r="A23" s="38"/>
      <c r="B23" s="39"/>
      <c r="C23" s="74"/>
      <c r="D23" s="40" t="s">
        <v>221</v>
      </c>
      <c r="E23" s="77"/>
      <c r="F23" s="68"/>
      <c r="G23" s="61"/>
      <c r="H23" s="44"/>
    </row>
    <row r="24" spans="1:11" ht="25.5">
      <c r="A24" s="38"/>
      <c r="B24" s="39"/>
      <c r="C24" s="74"/>
      <c r="D24" s="40" t="s">
        <v>222</v>
      </c>
      <c r="E24" s="77"/>
      <c r="F24" s="68"/>
      <c r="G24" s="61"/>
      <c r="H24" s="44"/>
    </row>
    <row r="25" spans="1:11" ht="25.5">
      <c r="A25" s="38"/>
      <c r="B25" s="39"/>
      <c r="C25" s="74"/>
      <c r="D25" s="40" t="s">
        <v>218</v>
      </c>
      <c r="E25" s="77"/>
      <c r="F25" s="68"/>
      <c r="G25" s="61"/>
      <c r="H25" s="44"/>
    </row>
    <row r="26" spans="1:11" ht="25.5">
      <c r="A26" s="38"/>
      <c r="B26" s="39"/>
      <c r="C26" s="74"/>
      <c r="D26" s="40" t="s">
        <v>223</v>
      </c>
      <c r="E26" s="77"/>
      <c r="F26" s="68"/>
      <c r="G26" s="61"/>
      <c r="H26" s="44"/>
    </row>
    <row r="27" spans="1:11">
      <c r="A27" s="38"/>
      <c r="B27" s="39"/>
      <c r="C27" s="74"/>
      <c r="D27" s="40" t="s">
        <v>224</v>
      </c>
      <c r="E27" s="77"/>
      <c r="F27" s="68"/>
      <c r="G27" s="61"/>
      <c r="H27" s="44"/>
    </row>
    <row r="28" spans="1:11" ht="25.5">
      <c r="A28" s="38"/>
      <c r="B28" s="39"/>
      <c r="C28" s="74"/>
      <c r="D28" s="40" t="s">
        <v>225</v>
      </c>
      <c r="E28" s="77"/>
      <c r="F28" s="68"/>
      <c r="G28" s="61"/>
      <c r="H28" s="44"/>
    </row>
    <row r="29" spans="1:11">
      <c r="A29" s="38"/>
      <c r="B29" s="39"/>
      <c r="C29" s="74"/>
      <c r="D29" s="40" t="s">
        <v>226</v>
      </c>
      <c r="E29" s="77"/>
      <c r="F29" s="68"/>
      <c r="G29" s="61"/>
      <c r="H29" s="44"/>
    </row>
    <row r="30" spans="1:11">
      <c r="A30" s="38"/>
      <c r="B30" s="39"/>
      <c r="C30" s="74"/>
      <c r="D30" s="40" t="s">
        <v>227</v>
      </c>
      <c r="E30" s="77"/>
      <c r="F30" s="68"/>
      <c r="G30" s="61"/>
      <c r="H30" s="44"/>
    </row>
    <row r="31" spans="1:11">
      <c r="A31" s="38"/>
      <c r="B31" s="39"/>
      <c r="C31" s="74"/>
      <c r="D31" s="40" t="s">
        <v>228</v>
      </c>
      <c r="E31" s="77"/>
      <c r="F31" s="68"/>
      <c r="G31" s="61"/>
      <c r="H31" s="44"/>
    </row>
    <row r="32" spans="1:11">
      <c r="A32" s="38"/>
      <c r="B32" s="39"/>
      <c r="C32" s="74"/>
      <c r="D32" s="40" t="s">
        <v>229</v>
      </c>
      <c r="E32" s="77"/>
      <c r="F32" s="68"/>
      <c r="G32" s="61"/>
      <c r="H32" s="44"/>
    </row>
    <row r="33" spans="1:8" ht="38.25">
      <c r="A33" s="38"/>
      <c r="B33" s="39"/>
      <c r="C33" s="74"/>
      <c r="D33" s="40" t="s">
        <v>219</v>
      </c>
      <c r="E33" s="77"/>
      <c r="F33" s="68"/>
      <c r="G33" s="61"/>
      <c r="H33" s="44"/>
    </row>
    <row r="34" spans="1:8">
      <c r="A34" s="32">
        <v>2</v>
      </c>
      <c r="B34" s="33" t="s">
        <v>138</v>
      </c>
      <c r="C34" s="34">
        <v>18130</v>
      </c>
      <c r="D34" s="35" t="s">
        <v>153</v>
      </c>
      <c r="E34" s="36" t="s">
        <v>77</v>
      </c>
      <c r="F34" s="37">
        <f>F36</f>
        <v>300</v>
      </c>
      <c r="G34" s="45"/>
      <c r="H34" s="31">
        <f>ROUND((G34*F34),2)</f>
        <v>0</v>
      </c>
    </row>
    <row r="35" spans="1:8">
      <c r="A35" s="79"/>
      <c r="B35" s="80"/>
      <c r="C35" s="80"/>
      <c r="D35" s="53" t="s">
        <v>78</v>
      </c>
      <c r="E35" s="81"/>
      <c r="F35" s="82"/>
      <c r="G35" s="83"/>
      <c r="H35" s="67"/>
    </row>
    <row r="36" spans="1:8">
      <c r="A36" s="38"/>
      <c r="B36" s="39"/>
      <c r="C36" s="74"/>
      <c r="D36" s="53" t="s">
        <v>154</v>
      </c>
      <c r="E36" s="41"/>
      <c r="F36" s="42">
        <f>300*1</f>
        <v>300</v>
      </c>
      <c r="G36" s="61"/>
      <c r="H36" s="44"/>
    </row>
    <row r="37" spans="1:8">
      <c r="A37" s="38"/>
      <c r="B37" s="39"/>
      <c r="C37" s="74"/>
      <c r="D37" s="53"/>
      <c r="E37" s="41"/>
      <c r="F37" s="42"/>
      <c r="G37" s="61"/>
      <c r="H37" s="44"/>
    </row>
    <row r="38" spans="1:8">
      <c r="A38" s="38"/>
      <c r="B38" s="39"/>
      <c r="C38" s="74"/>
      <c r="D38" s="53" t="s">
        <v>230</v>
      </c>
      <c r="E38" s="41"/>
      <c r="F38" s="42"/>
      <c r="G38" s="61"/>
      <c r="H38" s="44"/>
    </row>
    <row r="39" spans="1:8">
      <c r="A39" s="84"/>
      <c r="B39" s="85"/>
      <c r="C39" s="85" t="s">
        <v>80</v>
      </c>
      <c r="D39" s="86" t="s">
        <v>81</v>
      </c>
      <c r="E39" s="87"/>
      <c r="F39" s="88"/>
      <c r="G39" s="87"/>
      <c r="H39" s="89"/>
    </row>
    <row r="40" spans="1:8">
      <c r="A40" s="24">
        <v>3</v>
      </c>
      <c r="B40" s="33" t="s">
        <v>138</v>
      </c>
      <c r="C40" s="75">
        <v>224324</v>
      </c>
      <c r="D40" s="76" t="s">
        <v>82</v>
      </c>
      <c r="E40" s="28" t="s">
        <v>73</v>
      </c>
      <c r="F40" s="29">
        <f>F42</f>
        <v>41.152973399999993</v>
      </c>
      <c r="G40" s="45"/>
      <c r="H40" s="31">
        <f>ROUND((G40*F40),2)</f>
        <v>0</v>
      </c>
    </row>
    <row r="41" spans="1:8">
      <c r="A41" s="90"/>
      <c r="B41" s="91"/>
      <c r="C41" s="91"/>
      <c r="D41" s="53" t="s">
        <v>83</v>
      </c>
      <c r="E41" s="92"/>
      <c r="F41" s="93"/>
      <c r="G41" s="66"/>
      <c r="H41" s="67"/>
    </row>
    <row r="42" spans="1:8">
      <c r="A42" s="38"/>
      <c r="B42" s="39"/>
      <c r="C42" s="39"/>
      <c r="D42" s="40" t="s">
        <v>155</v>
      </c>
      <c r="E42" s="77"/>
      <c r="F42" s="68">
        <f>3.142*0.63/2*0.63/2*(4-0.7)*40</f>
        <v>41.152973399999993</v>
      </c>
      <c r="G42" s="78"/>
      <c r="H42" s="44"/>
    </row>
    <row r="43" spans="1:8">
      <c r="A43" s="38"/>
      <c r="B43" s="39"/>
      <c r="C43" s="39"/>
      <c r="D43" s="40"/>
      <c r="E43" s="77"/>
      <c r="F43" s="68"/>
      <c r="G43" s="78"/>
      <c r="H43" s="44"/>
    </row>
    <row r="44" spans="1:8">
      <c r="A44" s="38"/>
      <c r="B44" s="39"/>
      <c r="C44" s="39"/>
      <c r="D44" s="40" t="s">
        <v>210</v>
      </c>
      <c r="E44" s="77"/>
      <c r="F44" s="68"/>
      <c r="G44" s="78"/>
      <c r="H44" s="44"/>
    </row>
    <row r="45" spans="1:8" ht="51">
      <c r="A45" s="38"/>
      <c r="B45" s="39"/>
      <c r="C45" s="39"/>
      <c r="D45" s="40" t="s">
        <v>231</v>
      </c>
      <c r="E45" s="77"/>
      <c r="F45" s="68"/>
      <c r="G45" s="78"/>
      <c r="H45" s="44"/>
    </row>
    <row r="46" spans="1:8" ht="25.5">
      <c r="A46" s="38"/>
      <c r="B46" s="39"/>
      <c r="C46" s="39"/>
      <c r="D46" s="40" t="s">
        <v>232</v>
      </c>
      <c r="E46" s="77"/>
      <c r="F46" s="68"/>
      <c r="G46" s="78"/>
      <c r="H46" s="44"/>
    </row>
    <row r="47" spans="1:8">
      <c r="A47" s="38"/>
      <c r="B47" s="39"/>
      <c r="C47" s="39"/>
      <c r="D47" s="40" t="s">
        <v>245</v>
      </c>
      <c r="E47" s="77"/>
      <c r="F47" s="68"/>
      <c r="G47" s="78"/>
      <c r="H47" s="44"/>
    </row>
    <row r="48" spans="1:8" ht="25.5">
      <c r="A48" s="38"/>
      <c r="B48" s="39"/>
      <c r="C48" s="39"/>
      <c r="D48" s="40" t="s">
        <v>233</v>
      </c>
      <c r="E48" s="77"/>
      <c r="F48" s="68"/>
      <c r="G48" s="78"/>
      <c r="H48" s="44"/>
    </row>
    <row r="49" spans="1:8" ht="51">
      <c r="A49" s="38"/>
      <c r="B49" s="39"/>
      <c r="C49" s="39"/>
      <c r="D49" s="40" t="s">
        <v>235</v>
      </c>
      <c r="E49" s="77"/>
      <c r="F49" s="68"/>
      <c r="G49" s="78"/>
      <c r="H49" s="44"/>
    </row>
    <row r="50" spans="1:8">
      <c r="A50" s="38"/>
      <c r="B50" s="39"/>
      <c r="C50" s="39"/>
      <c r="D50" s="40" t="s">
        <v>236</v>
      </c>
      <c r="E50" s="77"/>
      <c r="F50" s="68"/>
      <c r="G50" s="78"/>
      <c r="H50" s="44"/>
    </row>
    <row r="51" spans="1:8" ht="38.25">
      <c r="A51" s="38"/>
      <c r="B51" s="39"/>
      <c r="C51" s="39"/>
      <c r="D51" s="40" t="s">
        <v>237</v>
      </c>
      <c r="E51" s="77"/>
      <c r="F51" s="68"/>
      <c r="G51" s="78"/>
      <c r="H51" s="44"/>
    </row>
    <row r="52" spans="1:8">
      <c r="A52" s="38"/>
      <c r="B52" s="39"/>
      <c r="C52" s="39"/>
      <c r="D52" s="40" t="s">
        <v>238</v>
      </c>
      <c r="E52" s="77"/>
      <c r="F52" s="68"/>
      <c r="G52" s="78"/>
      <c r="H52" s="44"/>
    </row>
    <row r="53" spans="1:8" ht="25.5">
      <c r="A53" s="38"/>
      <c r="B53" s="39"/>
      <c r="C53" s="39"/>
      <c r="D53" s="40" t="s">
        <v>239</v>
      </c>
      <c r="E53" s="77"/>
      <c r="F53" s="68"/>
      <c r="G53" s="78"/>
      <c r="H53" s="44"/>
    </row>
    <row r="54" spans="1:8">
      <c r="A54" s="38"/>
      <c r="B54" s="39"/>
      <c r="C54" s="39"/>
      <c r="D54" s="40" t="s">
        <v>246</v>
      </c>
      <c r="E54" s="77"/>
      <c r="F54" s="68"/>
      <c r="G54" s="78"/>
      <c r="H54" s="44"/>
    </row>
    <row r="55" spans="1:8">
      <c r="A55" s="38"/>
      <c r="B55" s="39"/>
      <c r="C55" s="39"/>
      <c r="D55" s="40" t="s">
        <v>247</v>
      </c>
      <c r="E55" s="77"/>
      <c r="F55" s="68"/>
      <c r="G55" s="78"/>
      <c r="H55" s="44"/>
    </row>
    <row r="56" spans="1:8">
      <c r="A56" s="38"/>
      <c r="B56" s="39"/>
      <c r="C56" s="39"/>
      <c r="D56" s="40" t="s">
        <v>240</v>
      </c>
      <c r="E56" s="77"/>
      <c r="F56" s="68"/>
      <c r="G56" s="78"/>
      <c r="H56" s="44"/>
    </row>
    <row r="57" spans="1:8" ht="25.5">
      <c r="A57" s="38"/>
      <c r="B57" s="39"/>
      <c r="C57" s="39"/>
      <c r="D57" s="40" t="s">
        <v>241</v>
      </c>
      <c r="E57" s="77"/>
      <c r="F57" s="68"/>
      <c r="G57" s="78"/>
      <c r="H57" s="44"/>
    </row>
    <row r="58" spans="1:8">
      <c r="A58" s="38"/>
      <c r="B58" s="39"/>
      <c r="C58" s="39"/>
      <c r="D58" s="40" t="s">
        <v>248</v>
      </c>
      <c r="E58" s="77"/>
      <c r="F58" s="68"/>
      <c r="G58" s="78"/>
      <c r="H58" s="44"/>
    </row>
    <row r="59" spans="1:8" ht="25.5">
      <c r="A59" s="38"/>
      <c r="B59" s="39"/>
      <c r="C59" s="39"/>
      <c r="D59" s="40" t="s">
        <v>249</v>
      </c>
      <c r="E59" s="77"/>
      <c r="F59" s="68"/>
      <c r="G59" s="78"/>
      <c r="H59" s="44"/>
    </row>
    <row r="60" spans="1:8" ht="25.5">
      <c r="A60" s="38"/>
      <c r="B60" s="39"/>
      <c r="C60" s="39"/>
      <c r="D60" s="40" t="s">
        <v>242</v>
      </c>
      <c r="E60" s="77"/>
      <c r="F60" s="68"/>
      <c r="G60" s="78"/>
      <c r="H60" s="44"/>
    </row>
    <row r="61" spans="1:8" ht="25.5">
      <c r="A61" s="38"/>
      <c r="B61" s="39"/>
      <c r="C61" s="39"/>
      <c r="D61" s="40" t="s">
        <v>250</v>
      </c>
      <c r="E61" s="77"/>
      <c r="F61" s="68"/>
      <c r="G61" s="78"/>
      <c r="H61" s="44"/>
    </row>
    <row r="62" spans="1:8" ht="25.5">
      <c r="A62" s="38"/>
      <c r="B62" s="39"/>
      <c r="C62" s="39"/>
      <c r="D62" s="40" t="s">
        <v>251</v>
      </c>
      <c r="E62" s="77"/>
      <c r="F62" s="68"/>
      <c r="G62" s="78"/>
      <c r="H62" s="44"/>
    </row>
    <row r="63" spans="1:8">
      <c r="A63" s="38"/>
      <c r="B63" s="39"/>
      <c r="C63" s="39"/>
      <c r="D63" s="40" t="s">
        <v>252</v>
      </c>
      <c r="E63" s="77"/>
      <c r="F63" s="68"/>
      <c r="G63" s="78"/>
      <c r="H63" s="44"/>
    </row>
    <row r="64" spans="1:8" ht="25.5">
      <c r="A64" s="38"/>
      <c r="B64" s="39"/>
      <c r="C64" s="39"/>
      <c r="D64" s="40" t="s">
        <v>243</v>
      </c>
      <c r="E64" s="77"/>
      <c r="F64" s="68"/>
      <c r="G64" s="78"/>
      <c r="H64" s="44"/>
    </row>
    <row r="65" spans="1:8">
      <c r="A65" s="38"/>
      <c r="B65" s="39"/>
      <c r="C65" s="39"/>
      <c r="D65" s="40" t="s">
        <v>244</v>
      </c>
      <c r="E65" s="77"/>
      <c r="F65" s="68"/>
      <c r="G65" s="78"/>
      <c r="H65" s="44"/>
    </row>
    <row r="66" spans="1:8">
      <c r="A66" s="24">
        <v>4</v>
      </c>
      <c r="B66" s="25"/>
      <c r="C66" s="75" t="s">
        <v>202</v>
      </c>
      <c r="D66" s="76" t="s">
        <v>85</v>
      </c>
      <c r="E66" s="28" t="s">
        <v>55</v>
      </c>
      <c r="F66" s="58">
        <v>40</v>
      </c>
      <c r="G66" s="30"/>
      <c r="H66" s="31">
        <f>ROUND((G66*F66),2)</f>
        <v>0</v>
      </c>
    </row>
    <row r="67" spans="1:8">
      <c r="A67" s="90"/>
      <c r="B67" s="91"/>
      <c r="C67" s="91"/>
      <c r="D67" s="94"/>
      <c r="E67" s="95"/>
      <c r="F67" s="96"/>
      <c r="G67" s="97"/>
      <c r="H67" s="44"/>
    </row>
    <row r="68" spans="1:8">
      <c r="A68" s="24">
        <v>5</v>
      </c>
      <c r="B68" s="33" t="s">
        <v>138</v>
      </c>
      <c r="C68" s="75">
        <v>224325</v>
      </c>
      <c r="D68" s="76" t="s">
        <v>86</v>
      </c>
      <c r="E68" s="28" t="s">
        <v>73</v>
      </c>
      <c r="F68" s="58">
        <f>SUM(F70:F70)</f>
        <v>8.7294185999999989</v>
      </c>
      <c r="G68" s="45"/>
      <c r="H68" s="31">
        <f>ROUND((G68*F68),2)</f>
        <v>0</v>
      </c>
    </row>
    <row r="69" spans="1:8">
      <c r="A69" s="90"/>
      <c r="B69" s="91"/>
      <c r="C69" s="91"/>
      <c r="D69" s="53" t="s">
        <v>87</v>
      </c>
      <c r="E69" s="91"/>
      <c r="F69" s="65"/>
      <c r="G69" s="78"/>
      <c r="H69" s="44"/>
    </row>
    <row r="70" spans="1:8">
      <c r="A70" s="90"/>
      <c r="B70" s="91"/>
      <c r="C70" s="91"/>
      <c r="D70" s="40" t="s">
        <v>156</v>
      </c>
      <c r="E70" s="77"/>
      <c r="F70" s="68">
        <f>3.142*0.63/2*0.63/2*0.7*40</f>
        <v>8.7294185999999989</v>
      </c>
      <c r="G70" s="78"/>
      <c r="H70" s="44"/>
    </row>
    <row r="71" spans="1:8">
      <c r="A71" s="90"/>
      <c r="B71" s="91"/>
      <c r="C71" s="91"/>
      <c r="D71" s="40"/>
      <c r="E71" s="77"/>
      <c r="F71" s="68"/>
      <c r="G71" s="78"/>
      <c r="H71" s="44"/>
    </row>
    <row r="72" spans="1:8">
      <c r="A72" s="90"/>
      <c r="B72" s="91"/>
      <c r="C72" s="91"/>
      <c r="D72" s="40" t="s">
        <v>210</v>
      </c>
      <c r="E72" s="77"/>
      <c r="F72" s="68"/>
      <c r="G72" s="78"/>
      <c r="H72" s="44"/>
    </row>
    <row r="73" spans="1:8" ht="51">
      <c r="A73" s="90"/>
      <c r="B73" s="91"/>
      <c r="C73" s="91"/>
      <c r="D73" s="40" t="s">
        <v>231</v>
      </c>
      <c r="E73" s="77"/>
      <c r="F73" s="68"/>
      <c r="G73" s="78"/>
      <c r="H73" s="44"/>
    </row>
    <row r="74" spans="1:8" ht="25.5">
      <c r="A74" s="90"/>
      <c r="B74" s="91"/>
      <c r="C74" s="91"/>
      <c r="D74" s="40" t="s">
        <v>232</v>
      </c>
      <c r="E74" s="77"/>
      <c r="F74" s="68"/>
      <c r="G74" s="78"/>
      <c r="H74" s="44"/>
    </row>
    <row r="75" spans="1:8">
      <c r="A75" s="90"/>
      <c r="B75" s="91"/>
      <c r="C75" s="91"/>
      <c r="D75" s="40" t="s">
        <v>245</v>
      </c>
      <c r="E75" s="77"/>
      <c r="F75" s="68"/>
      <c r="G75" s="78"/>
      <c r="H75" s="44"/>
    </row>
    <row r="76" spans="1:8" ht="25.5">
      <c r="A76" s="90"/>
      <c r="B76" s="91"/>
      <c r="C76" s="91"/>
      <c r="D76" s="40" t="s">
        <v>233</v>
      </c>
      <c r="E76" s="77"/>
      <c r="F76" s="68"/>
      <c r="G76" s="78"/>
      <c r="H76" s="44"/>
    </row>
    <row r="77" spans="1:8" ht="38.25">
      <c r="A77" s="90"/>
      <c r="B77" s="91"/>
      <c r="C77" s="91"/>
      <c r="D77" s="40" t="s">
        <v>234</v>
      </c>
      <c r="E77" s="77"/>
      <c r="F77" s="68"/>
      <c r="G77" s="78"/>
      <c r="H77" s="44"/>
    </row>
    <row r="78" spans="1:8" ht="51">
      <c r="A78" s="90"/>
      <c r="B78" s="91"/>
      <c r="C78" s="91"/>
      <c r="D78" s="40" t="s">
        <v>235</v>
      </c>
      <c r="E78" s="77"/>
      <c r="F78" s="68"/>
      <c r="G78" s="78"/>
      <c r="H78" s="44"/>
    </row>
    <row r="79" spans="1:8">
      <c r="A79" s="90"/>
      <c r="B79" s="91"/>
      <c r="C79" s="91"/>
      <c r="D79" s="40" t="s">
        <v>236</v>
      </c>
      <c r="E79" s="77"/>
      <c r="F79" s="68"/>
      <c r="G79" s="78"/>
      <c r="H79" s="44"/>
    </row>
    <row r="80" spans="1:8" ht="38.25">
      <c r="A80" s="90"/>
      <c r="B80" s="91"/>
      <c r="C80" s="91"/>
      <c r="D80" s="40" t="s">
        <v>237</v>
      </c>
      <c r="E80" s="77"/>
      <c r="F80" s="68"/>
      <c r="G80" s="78"/>
      <c r="H80" s="44"/>
    </row>
    <row r="81" spans="1:8">
      <c r="A81" s="90"/>
      <c r="B81" s="91"/>
      <c r="C81" s="91"/>
      <c r="D81" s="40" t="s">
        <v>238</v>
      </c>
      <c r="E81" s="77"/>
      <c r="F81" s="68"/>
      <c r="G81" s="78"/>
      <c r="H81" s="44"/>
    </row>
    <row r="82" spans="1:8" ht="25.5">
      <c r="A82" s="90"/>
      <c r="B82" s="91"/>
      <c r="C82" s="91"/>
      <c r="D82" s="40" t="s">
        <v>239</v>
      </c>
      <c r="E82" s="77"/>
      <c r="F82" s="68"/>
      <c r="G82" s="78"/>
      <c r="H82" s="44"/>
    </row>
    <row r="83" spans="1:8">
      <c r="A83" s="90"/>
      <c r="B83" s="91"/>
      <c r="C83" s="91"/>
      <c r="D83" s="40" t="s">
        <v>246</v>
      </c>
      <c r="E83" s="77"/>
      <c r="F83" s="68"/>
      <c r="G83" s="78"/>
      <c r="H83" s="44"/>
    </row>
    <row r="84" spans="1:8">
      <c r="A84" s="90"/>
      <c r="B84" s="91"/>
      <c r="C84" s="91"/>
      <c r="D84" s="40" t="s">
        <v>247</v>
      </c>
      <c r="E84" s="77"/>
      <c r="F84" s="68"/>
      <c r="G84" s="78"/>
      <c r="H84" s="44"/>
    </row>
    <row r="85" spans="1:8">
      <c r="A85" s="90"/>
      <c r="B85" s="91"/>
      <c r="C85" s="91"/>
      <c r="D85" s="40" t="s">
        <v>240</v>
      </c>
      <c r="E85" s="77"/>
      <c r="F85" s="68"/>
      <c r="G85" s="78"/>
      <c r="H85" s="44"/>
    </row>
    <row r="86" spans="1:8" ht="25.5">
      <c r="A86" s="90"/>
      <c r="B86" s="91"/>
      <c r="C86" s="91"/>
      <c r="D86" s="40" t="s">
        <v>241</v>
      </c>
      <c r="E86" s="77"/>
      <c r="F86" s="68"/>
      <c r="G86" s="78"/>
      <c r="H86" s="44"/>
    </row>
    <row r="87" spans="1:8">
      <c r="A87" s="90"/>
      <c r="B87" s="91"/>
      <c r="C87" s="91"/>
      <c r="D87" s="40" t="s">
        <v>248</v>
      </c>
      <c r="E87" s="77"/>
      <c r="F87" s="68"/>
      <c r="G87" s="78"/>
      <c r="H87" s="44"/>
    </row>
    <row r="88" spans="1:8" ht="25.5">
      <c r="A88" s="90"/>
      <c r="B88" s="91"/>
      <c r="C88" s="91"/>
      <c r="D88" s="40" t="s">
        <v>249</v>
      </c>
      <c r="E88" s="77"/>
      <c r="F88" s="68"/>
      <c r="G88" s="78"/>
      <c r="H88" s="44"/>
    </row>
    <row r="89" spans="1:8" ht="25.5">
      <c r="A89" s="90"/>
      <c r="B89" s="91"/>
      <c r="C89" s="91"/>
      <c r="D89" s="40" t="s">
        <v>242</v>
      </c>
      <c r="E89" s="77"/>
      <c r="F89" s="68"/>
      <c r="G89" s="78"/>
      <c r="H89" s="44"/>
    </row>
    <row r="90" spans="1:8" ht="25.5">
      <c r="A90" s="90"/>
      <c r="B90" s="91"/>
      <c r="C90" s="91"/>
      <c r="D90" s="40" t="s">
        <v>250</v>
      </c>
      <c r="E90" s="77"/>
      <c r="F90" s="68"/>
      <c r="G90" s="78"/>
      <c r="H90" s="44"/>
    </row>
    <row r="91" spans="1:8" ht="25.5">
      <c r="A91" s="90"/>
      <c r="B91" s="91"/>
      <c r="C91" s="91"/>
      <c r="D91" s="40" t="s">
        <v>251</v>
      </c>
      <c r="E91" s="77"/>
      <c r="F91" s="68"/>
      <c r="G91" s="78"/>
      <c r="H91" s="44"/>
    </row>
    <row r="92" spans="1:8">
      <c r="A92" s="90"/>
      <c r="B92" s="91"/>
      <c r="C92" s="91"/>
      <c r="D92" s="40" t="s">
        <v>252</v>
      </c>
      <c r="E92" s="77"/>
      <c r="F92" s="68"/>
      <c r="G92" s="78"/>
      <c r="H92" s="44"/>
    </row>
    <row r="93" spans="1:8" ht="25.5">
      <c r="A93" s="90"/>
      <c r="B93" s="91"/>
      <c r="C93" s="91"/>
      <c r="D93" s="40" t="s">
        <v>243</v>
      </c>
      <c r="E93" s="77"/>
      <c r="F93" s="68"/>
      <c r="G93" s="78"/>
      <c r="H93" s="44"/>
    </row>
    <row r="94" spans="1:8">
      <c r="A94" s="90"/>
      <c r="B94" s="91"/>
      <c r="C94" s="91"/>
      <c r="D94" s="40" t="s">
        <v>244</v>
      </c>
      <c r="E94" s="77"/>
      <c r="F94" s="68"/>
      <c r="G94" s="78"/>
      <c r="H94" s="44"/>
    </row>
    <row r="95" spans="1:8">
      <c r="A95" s="169">
        <v>6</v>
      </c>
      <c r="B95" s="170" t="s">
        <v>138</v>
      </c>
      <c r="C95" s="171">
        <v>224365</v>
      </c>
      <c r="D95" s="172" t="s">
        <v>89</v>
      </c>
      <c r="E95" s="173" t="s">
        <v>43</v>
      </c>
      <c r="F95" s="174">
        <v>49.881999999999998</v>
      </c>
      <c r="G95" s="175"/>
      <c r="H95" s="176">
        <f>ROUND((G95*F95),2)</f>
        <v>0</v>
      </c>
    </row>
    <row r="96" spans="1:8">
      <c r="A96" s="38"/>
      <c r="B96" s="39"/>
      <c r="C96" s="39"/>
      <c r="D96" s="53" t="s">
        <v>90</v>
      </c>
      <c r="E96" s="91"/>
      <c r="F96" s="93"/>
      <c r="G96" s="78"/>
      <c r="H96" s="44"/>
    </row>
    <row r="97" spans="1:8">
      <c r="A97" s="38"/>
      <c r="B97" s="39"/>
      <c r="C97" s="39"/>
      <c r="D97" s="53" t="s">
        <v>157</v>
      </c>
      <c r="E97" s="91"/>
      <c r="F97" s="42">
        <f>(41.153+8.729)</f>
        <v>49.881999999999998</v>
      </c>
      <c r="G97" s="78"/>
      <c r="H97" s="44"/>
    </row>
    <row r="98" spans="1:8">
      <c r="A98" s="38"/>
      <c r="B98" s="39"/>
      <c r="C98" s="39"/>
      <c r="D98" s="53"/>
      <c r="E98" s="91"/>
      <c r="F98" s="42"/>
      <c r="G98" s="78"/>
      <c r="H98" s="44"/>
    </row>
    <row r="99" spans="1:8">
      <c r="A99" s="38"/>
      <c r="B99" s="39"/>
      <c r="C99" s="39"/>
      <c r="D99" s="53" t="s">
        <v>210</v>
      </c>
      <c r="E99" s="91"/>
      <c r="F99" s="42"/>
      <c r="G99" s="78"/>
      <c r="H99" s="44"/>
    </row>
    <row r="100" spans="1:8" ht="25.5">
      <c r="A100" s="38"/>
      <c r="B100" s="39"/>
      <c r="C100" s="39"/>
      <c r="D100" s="53" t="s">
        <v>243</v>
      </c>
      <c r="E100" s="91"/>
      <c r="F100" s="42"/>
      <c r="G100" s="78"/>
      <c r="H100" s="44"/>
    </row>
    <row r="101" spans="1:8" ht="51">
      <c r="A101" s="38"/>
      <c r="B101" s="39"/>
      <c r="C101" s="39"/>
      <c r="D101" s="53" t="s">
        <v>253</v>
      </c>
      <c r="E101" s="91"/>
      <c r="F101" s="42"/>
      <c r="G101" s="78"/>
      <c r="H101" s="44"/>
    </row>
    <row r="102" spans="1:8">
      <c r="A102" s="38"/>
      <c r="B102" s="39"/>
      <c r="C102" s="39"/>
      <c r="D102" s="53" t="s">
        <v>256</v>
      </c>
      <c r="E102" s="91"/>
      <c r="F102" s="42"/>
      <c r="G102" s="78"/>
      <c r="H102" s="44"/>
    </row>
    <row r="103" spans="1:8">
      <c r="A103" s="38"/>
      <c r="B103" s="39"/>
      <c r="C103" s="39"/>
      <c r="D103" s="53" t="s">
        <v>257</v>
      </c>
      <c r="E103" s="91"/>
      <c r="F103" s="42"/>
      <c r="G103" s="78"/>
      <c r="H103" s="44"/>
    </row>
    <row r="104" spans="1:8">
      <c r="A104" s="38"/>
      <c r="B104" s="39"/>
      <c r="C104" s="39"/>
      <c r="D104" s="53" t="s">
        <v>258</v>
      </c>
      <c r="E104" s="91"/>
      <c r="F104" s="42"/>
      <c r="G104" s="78"/>
      <c r="H104" s="44"/>
    </row>
    <row r="105" spans="1:8">
      <c r="A105" s="38"/>
      <c r="B105" s="39"/>
      <c r="C105" s="39"/>
      <c r="D105" s="53" t="s">
        <v>259</v>
      </c>
      <c r="E105" s="91"/>
      <c r="F105" s="42"/>
      <c r="G105" s="78"/>
      <c r="H105" s="44"/>
    </row>
    <row r="106" spans="1:8">
      <c r="A106" s="38"/>
      <c r="B106" s="39"/>
      <c r="C106" s="39"/>
      <c r="D106" s="53" t="s">
        <v>260</v>
      </c>
      <c r="E106" s="91"/>
      <c r="F106" s="42"/>
      <c r="G106" s="78"/>
      <c r="H106" s="44"/>
    </row>
    <row r="107" spans="1:8" ht="25.5">
      <c r="A107" s="38"/>
      <c r="B107" s="39"/>
      <c r="C107" s="39"/>
      <c r="D107" s="53" t="s">
        <v>254</v>
      </c>
      <c r="E107" s="91"/>
      <c r="F107" s="42"/>
      <c r="G107" s="78"/>
      <c r="H107" s="44"/>
    </row>
    <row r="108" spans="1:8">
      <c r="A108" s="38"/>
      <c r="B108" s="39"/>
      <c r="C108" s="39"/>
      <c r="D108" s="53" t="s">
        <v>261</v>
      </c>
      <c r="E108" s="91"/>
      <c r="F108" s="42"/>
      <c r="G108" s="78"/>
      <c r="H108" s="44"/>
    </row>
    <row r="109" spans="1:8" ht="51">
      <c r="A109" s="38"/>
      <c r="B109" s="39"/>
      <c r="C109" s="39"/>
      <c r="D109" s="53" t="s">
        <v>255</v>
      </c>
      <c r="E109" s="91"/>
      <c r="F109" s="42"/>
      <c r="G109" s="78"/>
      <c r="H109" s="44"/>
    </row>
    <row r="110" spans="1:8">
      <c r="A110" s="38"/>
      <c r="B110" s="39"/>
      <c r="C110" s="39"/>
      <c r="D110" s="53" t="s">
        <v>262</v>
      </c>
      <c r="E110" s="91"/>
      <c r="F110" s="42"/>
      <c r="G110" s="78"/>
      <c r="H110" s="44"/>
    </row>
    <row r="111" spans="1:8">
      <c r="A111" s="38"/>
      <c r="B111" s="39"/>
      <c r="C111" s="39"/>
      <c r="D111" s="53" t="s">
        <v>263</v>
      </c>
      <c r="E111" s="91"/>
      <c r="F111" s="42"/>
      <c r="G111" s="78"/>
      <c r="H111" s="44"/>
    </row>
    <row r="112" spans="1:8">
      <c r="A112" s="38"/>
      <c r="B112" s="39"/>
      <c r="C112" s="39"/>
      <c r="D112" s="53" t="s">
        <v>264</v>
      </c>
      <c r="E112" s="91"/>
      <c r="F112" s="42"/>
      <c r="G112" s="78"/>
      <c r="H112" s="44"/>
    </row>
    <row r="113" spans="1:8">
      <c r="A113" s="38"/>
      <c r="B113" s="39"/>
      <c r="C113" s="39"/>
      <c r="D113" s="53" t="s">
        <v>265</v>
      </c>
      <c r="E113" s="91"/>
      <c r="F113" s="42"/>
      <c r="G113" s="78"/>
      <c r="H113" s="44"/>
    </row>
    <row r="114" spans="1:8">
      <c r="A114" s="24">
        <v>7</v>
      </c>
      <c r="B114" s="33" t="s">
        <v>138</v>
      </c>
      <c r="C114" s="75">
        <v>264239</v>
      </c>
      <c r="D114" s="76" t="s">
        <v>92</v>
      </c>
      <c r="E114" s="28" t="s">
        <v>93</v>
      </c>
      <c r="F114" s="29">
        <f>F115</f>
        <v>160</v>
      </c>
      <c r="G114" s="45"/>
      <c r="H114" s="31">
        <f>ROUND((G114*F114),2)</f>
        <v>0</v>
      </c>
    </row>
    <row r="115" spans="1:8">
      <c r="A115" s="38"/>
      <c r="B115" s="39"/>
      <c r="C115" s="39"/>
      <c r="D115" s="53" t="s">
        <v>158</v>
      </c>
      <c r="E115" s="77"/>
      <c r="F115" s="42">
        <f>4*40</f>
        <v>160</v>
      </c>
      <c r="G115" s="78"/>
      <c r="H115" s="44"/>
    </row>
    <row r="116" spans="1:8">
      <c r="A116" s="38"/>
      <c r="B116" s="39"/>
      <c r="C116" s="39"/>
      <c r="D116" s="53"/>
      <c r="E116" s="77"/>
      <c r="F116" s="42"/>
      <c r="G116" s="78"/>
      <c r="H116" s="44"/>
    </row>
    <row r="117" spans="1:8">
      <c r="A117" s="38"/>
      <c r="B117" s="39"/>
      <c r="C117" s="39"/>
      <c r="D117" s="53" t="s">
        <v>210</v>
      </c>
      <c r="E117" s="77"/>
      <c r="F117" s="42"/>
      <c r="G117" s="78"/>
      <c r="H117" s="44"/>
    </row>
    <row r="118" spans="1:8" ht="25.5">
      <c r="A118" s="38"/>
      <c r="B118" s="39"/>
      <c r="C118" s="39"/>
      <c r="D118" s="53" t="s">
        <v>266</v>
      </c>
      <c r="E118" s="77"/>
      <c r="F118" s="42"/>
      <c r="G118" s="78"/>
      <c r="H118" s="44"/>
    </row>
    <row r="119" spans="1:8">
      <c r="A119" s="38"/>
      <c r="B119" s="39"/>
      <c r="C119" s="39"/>
      <c r="D119" s="53" t="s">
        <v>267</v>
      </c>
      <c r="E119" s="77"/>
      <c r="F119" s="42"/>
      <c r="G119" s="78"/>
      <c r="H119" s="44"/>
    </row>
    <row r="120" spans="1:8">
      <c r="A120" s="38"/>
      <c r="B120" s="39"/>
      <c r="C120" s="39"/>
      <c r="D120" s="53" t="s">
        <v>270</v>
      </c>
      <c r="E120" s="77"/>
      <c r="F120" s="42"/>
      <c r="G120" s="78"/>
      <c r="H120" s="44"/>
    </row>
    <row r="121" spans="1:8" ht="25.5">
      <c r="A121" s="38"/>
      <c r="B121" s="39"/>
      <c r="C121" s="39"/>
      <c r="D121" s="53" t="s">
        <v>268</v>
      </c>
      <c r="E121" s="77"/>
      <c r="F121" s="42"/>
      <c r="G121" s="78"/>
      <c r="H121" s="44"/>
    </row>
    <row r="122" spans="1:8" ht="25.5">
      <c r="A122" s="38"/>
      <c r="B122" s="39"/>
      <c r="C122" s="39"/>
      <c r="D122" s="53" t="s">
        <v>271</v>
      </c>
      <c r="E122" s="77"/>
      <c r="F122" s="42"/>
      <c r="G122" s="78"/>
      <c r="H122" s="44"/>
    </row>
    <row r="123" spans="1:8">
      <c r="A123" s="38"/>
      <c r="B123" s="39"/>
      <c r="C123" s="39"/>
      <c r="D123" s="53" t="s">
        <v>269</v>
      </c>
      <c r="E123" s="77"/>
      <c r="F123" s="42"/>
      <c r="G123" s="78"/>
      <c r="H123" s="44"/>
    </row>
    <row r="124" spans="1:8">
      <c r="A124" s="38"/>
      <c r="B124" s="39"/>
      <c r="C124" s="39"/>
      <c r="D124" s="53" t="s">
        <v>272</v>
      </c>
      <c r="E124" s="77"/>
      <c r="F124" s="42"/>
      <c r="G124" s="78"/>
      <c r="H124" s="44"/>
    </row>
    <row r="125" spans="1:8">
      <c r="A125" s="38"/>
      <c r="B125" s="39"/>
      <c r="C125" s="39"/>
      <c r="D125" s="53" t="s">
        <v>273</v>
      </c>
      <c r="E125" s="77"/>
      <c r="F125" s="42"/>
      <c r="G125" s="78"/>
      <c r="H125" s="44"/>
    </row>
    <row r="126" spans="1:8">
      <c r="A126" s="38"/>
      <c r="B126" s="39"/>
      <c r="C126" s="39"/>
      <c r="D126" s="53" t="s">
        <v>274</v>
      </c>
      <c r="E126" s="77"/>
      <c r="F126" s="42"/>
      <c r="G126" s="78"/>
      <c r="H126" s="44"/>
    </row>
    <row r="127" spans="1:8">
      <c r="A127" s="38"/>
      <c r="B127" s="39"/>
      <c r="C127" s="39"/>
      <c r="D127" s="53" t="s">
        <v>275</v>
      </c>
      <c r="E127" s="77"/>
      <c r="F127" s="42"/>
      <c r="G127" s="78"/>
      <c r="H127" s="44"/>
    </row>
    <row r="128" spans="1:8">
      <c r="A128" s="38"/>
      <c r="B128" s="39"/>
      <c r="C128" s="39"/>
      <c r="D128" s="53" t="s">
        <v>276</v>
      </c>
      <c r="E128" s="77"/>
      <c r="F128" s="42"/>
      <c r="G128" s="78"/>
      <c r="H128" s="44"/>
    </row>
    <row r="129" spans="1:8">
      <c r="A129" s="142"/>
      <c r="B129" s="143"/>
      <c r="C129" s="144" t="s">
        <v>95</v>
      </c>
      <c r="D129" s="145" t="s">
        <v>96</v>
      </c>
      <c r="E129" s="146"/>
      <c r="F129" s="147"/>
      <c r="G129" s="148"/>
      <c r="H129" s="149"/>
    </row>
    <row r="130" spans="1:8">
      <c r="A130" s="177">
        <v>8</v>
      </c>
      <c r="B130" s="170" t="s">
        <v>138</v>
      </c>
      <c r="C130" s="178">
        <v>33794</v>
      </c>
      <c r="D130" s="179" t="s">
        <v>97</v>
      </c>
      <c r="E130" s="178" t="s">
        <v>43</v>
      </c>
      <c r="F130" s="180">
        <f>F131</f>
        <v>6.4752000000000001</v>
      </c>
      <c r="G130" s="175"/>
      <c r="H130" s="176">
        <f>ROUND((G130*F130),2)</f>
        <v>0</v>
      </c>
    </row>
    <row r="131" spans="1:8">
      <c r="A131" s="38"/>
      <c r="B131" s="39"/>
      <c r="C131" s="74"/>
      <c r="D131" s="53" t="s">
        <v>159</v>
      </c>
      <c r="E131" s="77"/>
      <c r="F131" s="68">
        <f>3.8*42.6*0.001*40</f>
        <v>6.4752000000000001</v>
      </c>
      <c r="G131" s="61"/>
      <c r="H131" s="44"/>
    </row>
    <row r="132" spans="1:8">
      <c r="A132" s="38"/>
      <c r="B132" s="39"/>
      <c r="C132" s="74"/>
      <c r="D132" s="53"/>
      <c r="E132" s="77"/>
      <c r="F132" s="68"/>
      <c r="G132" s="61"/>
      <c r="H132" s="44"/>
    </row>
    <row r="133" spans="1:8">
      <c r="A133" s="38"/>
      <c r="B133" s="39"/>
      <c r="C133" s="74"/>
      <c r="D133" s="53" t="s">
        <v>210</v>
      </c>
      <c r="E133" s="77"/>
      <c r="F133" s="68"/>
      <c r="G133" s="61"/>
      <c r="H133" s="44"/>
    </row>
    <row r="134" spans="1:8" ht="25.5">
      <c r="A134" s="38"/>
      <c r="B134" s="39"/>
      <c r="C134" s="74"/>
      <c r="D134" s="53" t="s">
        <v>277</v>
      </c>
      <c r="E134" s="77"/>
      <c r="F134" s="68"/>
      <c r="G134" s="61"/>
      <c r="H134" s="44"/>
    </row>
    <row r="135" spans="1:8" ht="38.25">
      <c r="A135" s="38"/>
      <c r="B135" s="39"/>
      <c r="C135" s="74"/>
      <c r="D135" s="53" t="s">
        <v>278</v>
      </c>
      <c r="E135" s="77"/>
      <c r="F135" s="68"/>
      <c r="G135" s="61"/>
      <c r="H135" s="44"/>
    </row>
    <row r="136" spans="1:8">
      <c r="A136" s="38"/>
      <c r="B136" s="39"/>
      <c r="C136" s="74"/>
      <c r="D136" s="53" t="s">
        <v>279</v>
      </c>
      <c r="E136" s="77"/>
      <c r="F136" s="68"/>
      <c r="G136" s="61"/>
      <c r="H136" s="44"/>
    </row>
    <row r="137" spans="1:8" ht="25.5">
      <c r="A137" s="38"/>
      <c r="B137" s="39"/>
      <c r="C137" s="74"/>
      <c r="D137" s="53" t="s">
        <v>280</v>
      </c>
      <c r="E137" s="77"/>
      <c r="F137" s="68"/>
      <c r="G137" s="61"/>
      <c r="H137" s="44"/>
    </row>
    <row r="138" spans="1:8" ht="38.25">
      <c r="A138" s="38"/>
      <c r="B138" s="39"/>
      <c r="C138" s="74"/>
      <c r="D138" s="53" t="s">
        <v>281</v>
      </c>
      <c r="E138" s="77"/>
      <c r="F138" s="68"/>
      <c r="G138" s="61"/>
      <c r="H138" s="44"/>
    </row>
    <row r="139" spans="1:8" ht="25.5">
      <c r="A139" s="38"/>
      <c r="B139" s="39"/>
      <c r="C139" s="74"/>
      <c r="D139" s="53" t="s">
        <v>282</v>
      </c>
      <c r="E139" s="77"/>
      <c r="F139" s="68"/>
      <c r="G139" s="61"/>
      <c r="H139" s="44"/>
    </row>
    <row r="140" spans="1:8">
      <c r="A140" s="38"/>
      <c r="B140" s="39"/>
      <c r="C140" s="74"/>
      <c r="D140" s="53" t="s">
        <v>283</v>
      </c>
      <c r="E140" s="77"/>
      <c r="F140" s="68"/>
      <c r="G140" s="61"/>
      <c r="H140" s="44"/>
    </row>
    <row r="141" spans="1:8">
      <c r="A141" s="38"/>
      <c r="B141" s="39"/>
      <c r="C141" s="74"/>
      <c r="D141" s="53" t="s">
        <v>284</v>
      </c>
      <c r="E141" s="77"/>
      <c r="F141" s="68"/>
      <c r="G141" s="61"/>
      <c r="H141" s="44"/>
    </row>
    <row r="142" spans="1:8" ht="25.5">
      <c r="A142" s="38"/>
      <c r="B142" s="39"/>
      <c r="C142" s="74"/>
      <c r="D142" s="53" t="s">
        <v>285</v>
      </c>
      <c r="E142" s="77"/>
      <c r="F142" s="68"/>
      <c r="G142" s="61"/>
      <c r="H142" s="44"/>
    </row>
    <row r="143" spans="1:8" ht="25.5">
      <c r="A143" s="38"/>
      <c r="B143" s="39"/>
      <c r="C143" s="74"/>
      <c r="D143" s="53" t="s">
        <v>286</v>
      </c>
      <c r="E143" s="77"/>
      <c r="F143" s="68"/>
      <c r="G143" s="61"/>
      <c r="H143" s="44"/>
    </row>
    <row r="144" spans="1:8" ht="25.5">
      <c r="A144" s="38"/>
      <c r="B144" s="39"/>
      <c r="C144" s="74"/>
      <c r="D144" s="53" t="s">
        <v>287</v>
      </c>
      <c r="E144" s="77"/>
      <c r="F144" s="68"/>
      <c r="G144" s="61"/>
      <c r="H144" s="44"/>
    </row>
    <row r="145" spans="1:8" ht="25.5">
      <c r="A145" s="38"/>
      <c r="B145" s="39"/>
      <c r="C145" s="74"/>
      <c r="D145" s="53" t="s">
        <v>288</v>
      </c>
      <c r="E145" s="77"/>
      <c r="F145" s="68"/>
      <c r="G145" s="61"/>
      <c r="H145" s="44"/>
    </row>
    <row r="146" spans="1:8">
      <c r="A146" s="38"/>
      <c r="B146" s="39"/>
      <c r="C146" s="74"/>
      <c r="D146" s="53" t="s">
        <v>289</v>
      </c>
      <c r="E146" s="77"/>
      <c r="F146" s="68"/>
      <c r="G146" s="61"/>
      <c r="H146" s="44"/>
    </row>
    <row r="147" spans="1:8">
      <c r="A147" s="38"/>
      <c r="B147" s="39"/>
      <c r="C147" s="74"/>
      <c r="D147" s="53" t="s">
        <v>290</v>
      </c>
      <c r="E147" s="77"/>
      <c r="F147" s="68"/>
      <c r="G147" s="61"/>
      <c r="H147" s="44"/>
    </row>
    <row r="148" spans="1:8">
      <c r="A148" s="38"/>
      <c r="B148" s="39"/>
      <c r="C148" s="74"/>
      <c r="D148" s="53" t="s">
        <v>291</v>
      </c>
      <c r="E148" s="77"/>
      <c r="F148" s="68"/>
      <c r="G148" s="61"/>
      <c r="H148" s="44"/>
    </row>
    <row r="149" spans="1:8">
      <c r="A149" s="38"/>
      <c r="B149" s="39"/>
      <c r="C149" s="74"/>
      <c r="D149" s="53" t="s">
        <v>292</v>
      </c>
      <c r="E149" s="77"/>
      <c r="F149" s="68"/>
      <c r="G149" s="61"/>
      <c r="H149" s="44"/>
    </row>
    <row r="150" spans="1:8">
      <c r="A150" s="177">
        <v>9</v>
      </c>
      <c r="B150" s="170" t="s">
        <v>138</v>
      </c>
      <c r="C150" s="178">
        <v>34712</v>
      </c>
      <c r="D150" s="179" t="s">
        <v>100</v>
      </c>
      <c r="E150" s="178" t="s">
        <v>77</v>
      </c>
      <c r="F150" s="180">
        <f>F152</f>
        <v>37.5</v>
      </c>
      <c r="G150" s="175"/>
      <c r="H150" s="176">
        <f>ROUND((G150*F150),2)</f>
        <v>0</v>
      </c>
    </row>
    <row r="151" spans="1:8">
      <c r="A151" s="62"/>
      <c r="B151" s="63"/>
      <c r="C151" s="63"/>
      <c r="D151" s="53" t="s">
        <v>101</v>
      </c>
      <c r="E151" s="63"/>
      <c r="F151" s="65"/>
      <c r="G151" s="66"/>
      <c r="H151" s="67"/>
    </row>
    <row r="152" spans="1:8">
      <c r="A152" s="62"/>
      <c r="B152" s="63"/>
      <c r="C152" s="63"/>
      <c r="D152" s="53" t="s">
        <v>160</v>
      </c>
      <c r="E152" s="98"/>
      <c r="F152" s="68">
        <f>300*0.25*0.5</f>
        <v>37.5</v>
      </c>
      <c r="G152" s="66"/>
      <c r="H152" s="67"/>
    </row>
    <row r="153" spans="1:8">
      <c r="A153" s="62"/>
      <c r="B153" s="63"/>
      <c r="C153" s="63"/>
      <c r="D153" s="53"/>
      <c r="E153" s="98"/>
      <c r="F153" s="68"/>
      <c r="G153" s="66"/>
      <c r="H153" s="67"/>
    </row>
    <row r="154" spans="1:8">
      <c r="A154" s="62"/>
      <c r="B154" s="63"/>
      <c r="C154" s="63"/>
      <c r="D154" s="53" t="s">
        <v>210</v>
      </c>
      <c r="E154" s="98"/>
      <c r="F154" s="68"/>
      <c r="G154" s="66"/>
      <c r="H154" s="67"/>
    </row>
    <row r="155" spans="1:8" ht="38.25">
      <c r="A155" s="62"/>
      <c r="B155" s="63"/>
      <c r="C155" s="63"/>
      <c r="D155" s="53" t="s">
        <v>293</v>
      </c>
      <c r="E155" s="98"/>
      <c r="F155" s="68"/>
      <c r="G155" s="66"/>
      <c r="H155" s="67"/>
    </row>
    <row r="156" spans="1:8" ht="25.5">
      <c r="A156" s="62"/>
      <c r="B156" s="63"/>
      <c r="C156" s="63"/>
      <c r="D156" s="53" t="s">
        <v>294</v>
      </c>
      <c r="E156" s="98"/>
      <c r="F156" s="68"/>
      <c r="G156" s="66"/>
      <c r="H156" s="67"/>
    </row>
    <row r="157" spans="1:8">
      <c r="A157" s="62"/>
      <c r="B157" s="63"/>
      <c r="C157" s="63"/>
      <c r="D157" s="53" t="s">
        <v>295</v>
      </c>
      <c r="E157" s="98"/>
      <c r="F157" s="68"/>
      <c r="G157" s="66"/>
      <c r="H157" s="67"/>
    </row>
    <row r="158" spans="1:8" ht="25.5">
      <c r="A158" s="62"/>
      <c r="B158" s="63"/>
      <c r="C158" s="63"/>
      <c r="D158" s="53" t="s">
        <v>296</v>
      </c>
      <c r="E158" s="98"/>
      <c r="F158" s="68"/>
      <c r="G158" s="66"/>
      <c r="H158" s="67"/>
    </row>
    <row r="159" spans="1:8" ht="25.5">
      <c r="A159" s="62"/>
      <c r="B159" s="63"/>
      <c r="C159" s="63"/>
      <c r="D159" s="53" t="s">
        <v>297</v>
      </c>
      <c r="E159" s="98"/>
      <c r="F159" s="68"/>
      <c r="G159" s="66"/>
      <c r="H159" s="67"/>
    </row>
    <row r="160" spans="1:8">
      <c r="A160" s="62"/>
      <c r="B160" s="63"/>
      <c r="C160" s="63"/>
      <c r="D160" s="53" t="s">
        <v>298</v>
      </c>
      <c r="E160" s="98"/>
      <c r="F160" s="68"/>
      <c r="G160" s="66"/>
      <c r="H160" s="67"/>
    </row>
    <row r="161" spans="1:8">
      <c r="A161" s="62"/>
      <c r="B161" s="63"/>
      <c r="C161" s="63"/>
      <c r="D161" s="53" t="s">
        <v>299</v>
      </c>
      <c r="E161" s="98"/>
      <c r="F161" s="68"/>
      <c r="G161" s="66"/>
      <c r="H161" s="67"/>
    </row>
    <row r="162" spans="1:8">
      <c r="A162" s="62"/>
      <c r="B162" s="63"/>
      <c r="C162" s="63"/>
      <c r="D162" s="53" t="s">
        <v>300</v>
      </c>
      <c r="E162" s="98"/>
      <c r="F162" s="68"/>
      <c r="G162" s="66"/>
      <c r="H162" s="67"/>
    </row>
    <row r="163" spans="1:8">
      <c r="A163" s="62"/>
      <c r="B163" s="63"/>
      <c r="C163" s="63"/>
      <c r="D163" s="53" t="s">
        <v>301</v>
      </c>
      <c r="E163" s="98"/>
      <c r="F163" s="68"/>
      <c r="G163" s="66"/>
      <c r="H163" s="67"/>
    </row>
    <row r="164" spans="1:8" ht="25.5">
      <c r="A164" s="62"/>
      <c r="B164" s="63"/>
      <c r="C164" s="63"/>
      <c r="D164" s="53" t="s">
        <v>302</v>
      </c>
      <c r="E164" s="98"/>
      <c r="F164" s="68"/>
      <c r="G164" s="66"/>
      <c r="H164" s="67"/>
    </row>
    <row r="165" spans="1:8">
      <c r="A165" s="62"/>
      <c r="B165" s="63"/>
      <c r="C165" s="63"/>
      <c r="D165" s="53" t="s">
        <v>303</v>
      </c>
      <c r="E165" s="98"/>
      <c r="F165" s="68"/>
      <c r="G165" s="66"/>
      <c r="H165" s="67"/>
    </row>
    <row r="166" spans="1:8" ht="38.25">
      <c r="A166" s="62"/>
      <c r="B166" s="63"/>
      <c r="C166" s="63"/>
      <c r="D166" s="53" t="s">
        <v>304</v>
      </c>
      <c r="E166" s="98"/>
      <c r="F166" s="68"/>
      <c r="G166" s="66"/>
      <c r="H166" s="67"/>
    </row>
    <row r="167" spans="1:8" ht="25.5">
      <c r="A167" s="177">
        <v>10</v>
      </c>
      <c r="B167" s="181"/>
      <c r="C167" s="178" t="s">
        <v>161</v>
      </c>
      <c r="D167" s="179" t="s">
        <v>162</v>
      </c>
      <c r="E167" s="178" t="s">
        <v>77</v>
      </c>
      <c r="F167" s="180">
        <f>F168</f>
        <v>37.5</v>
      </c>
      <c r="G167" s="175"/>
      <c r="H167" s="176">
        <f>ROUND((G167*F167),2)</f>
        <v>0</v>
      </c>
    </row>
    <row r="168" spans="1:8">
      <c r="A168" s="62"/>
      <c r="B168" s="63"/>
      <c r="C168" s="63"/>
      <c r="D168" s="48" t="s">
        <v>160</v>
      </c>
      <c r="E168" s="98"/>
      <c r="F168" s="68">
        <f>300*0.5*0.25</f>
        <v>37.5</v>
      </c>
      <c r="G168" s="66"/>
      <c r="H168" s="67"/>
    </row>
    <row r="169" spans="1:8">
      <c r="A169" s="177">
        <v>11</v>
      </c>
      <c r="B169" s="181"/>
      <c r="C169" s="178" t="s">
        <v>103</v>
      </c>
      <c r="D169" s="179" t="s">
        <v>104</v>
      </c>
      <c r="E169" s="178" t="s">
        <v>77</v>
      </c>
      <c r="F169" s="180">
        <f>F171</f>
        <v>750</v>
      </c>
      <c r="G169" s="175"/>
      <c r="H169" s="176">
        <f>ROUND((G169*F169),2)</f>
        <v>0</v>
      </c>
    </row>
    <row r="170" spans="1:8" ht="25.5">
      <c r="A170" s="62"/>
      <c r="B170" s="63"/>
      <c r="C170" s="63"/>
      <c r="D170" s="53" t="s">
        <v>105</v>
      </c>
      <c r="E170" s="63"/>
      <c r="F170" s="65"/>
      <c r="G170" s="66"/>
      <c r="H170" s="67"/>
    </row>
    <row r="171" spans="1:8">
      <c r="A171" s="99"/>
      <c r="B171" s="78"/>
      <c r="C171" s="78"/>
      <c r="D171" s="53" t="s">
        <v>163</v>
      </c>
      <c r="E171" s="98"/>
      <c r="F171" s="68">
        <f>300*2.5</f>
        <v>750</v>
      </c>
      <c r="G171" s="78"/>
      <c r="H171" s="100"/>
    </row>
    <row r="172" spans="1:8">
      <c r="A172" s="153"/>
      <c r="B172" s="154"/>
      <c r="C172" s="144" t="s">
        <v>112</v>
      </c>
      <c r="D172" s="145" t="s">
        <v>113</v>
      </c>
      <c r="E172" s="155"/>
      <c r="F172" s="156"/>
      <c r="G172" s="157"/>
      <c r="H172" s="158"/>
    </row>
    <row r="173" spans="1:8">
      <c r="A173" s="177">
        <v>12</v>
      </c>
      <c r="B173" s="181"/>
      <c r="C173" s="178" t="s">
        <v>114</v>
      </c>
      <c r="D173" s="179" t="s">
        <v>115</v>
      </c>
      <c r="E173" s="178" t="s">
        <v>55</v>
      </c>
      <c r="F173" s="180">
        <f>F175</f>
        <v>355</v>
      </c>
      <c r="G173" s="175"/>
      <c r="H173" s="176">
        <f>ROUND((G173*F173),2)</f>
        <v>0</v>
      </c>
    </row>
    <row r="174" spans="1:8">
      <c r="A174" s="62"/>
      <c r="B174" s="63"/>
      <c r="C174" s="63"/>
      <c r="D174" s="53" t="s">
        <v>116</v>
      </c>
      <c r="E174" s="63"/>
      <c r="F174" s="103"/>
      <c r="G174" s="66"/>
      <c r="H174" s="67"/>
    </row>
    <row r="175" spans="1:8">
      <c r="A175" s="62"/>
      <c r="B175" s="63"/>
      <c r="C175" s="63"/>
      <c r="D175" s="53" t="s">
        <v>164</v>
      </c>
      <c r="E175" s="63"/>
      <c r="F175" s="68">
        <f>71*5</f>
        <v>355</v>
      </c>
      <c r="G175" s="66"/>
      <c r="H175" s="67"/>
    </row>
    <row r="176" spans="1:8">
      <c r="A176" s="177">
        <v>13</v>
      </c>
      <c r="B176" s="181"/>
      <c r="C176" s="178" t="s">
        <v>118</v>
      </c>
      <c r="D176" s="179" t="s">
        <v>119</v>
      </c>
      <c r="E176" s="178" t="s">
        <v>93</v>
      </c>
      <c r="F176" s="180">
        <f>F177</f>
        <v>330</v>
      </c>
      <c r="G176" s="175"/>
      <c r="H176" s="176">
        <f>ROUND((G176*F176),2)</f>
        <v>0</v>
      </c>
    </row>
    <row r="177" spans="1:8">
      <c r="A177" s="62"/>
      <c r="B177" s="63"/>
      <c r="C177" s="63"/>
      <c r="D177" s="53" t="s">
        <v>165</v>
      </c>
      <c r="E177" s="63"/>
      <c r="F177" s="68">
        <f>300*1.1</f>
        <v>330</v>
      </c>
      <c r="G177" s="66"/>
      <c r="H177" s="67"/>
    </row>
    <row r="178" spans="1:8">
      <c r="A178" s="54">
        <v>14</v>
      </c>
      <c r="B178" s="33" t="s">
        <v>138</v>
      </c>
      <c r="C178" s="57">
        <v>78312</v>
      </c>
      <c r="D178" s="56" t="s">
        <v>166</v>
      </c>
      <c r="E178" s="57" t="s">
        <v>77</v>
      </c>
      <c r="F178" s="58">
        <f>F180</f>
        <v>118.14659999999999</v>
      </c>
      <c r="G178" s="30"/>
      <c r="H178" s="31">
        <f>ROUND((G178*F178),2)</f>
        <v>0</v>
      </c>
    </row>
    <row r="179" spans="1:8">
      <c r="A179" s="38"/>
      <c r="B179" s="39"/>
      <c r="C179" s="39"/>
      <c r="D179" s="53" t="s">
        <v>167</v>
      </c>
      <c r="E179" s="49"/>
      <c r="F179" s="50"/>
      <c r="G179" s="78"/>
      <c r="H179" s="44"/>
    </row>
    <row r="180" spans="1:8">
      <c r="A180" s="38"/>
      <c r="B180" s="39"/>
      <c r="C180" s="39"/>
      <c r="D180" s="53" t="s">
        <v>168</v>
      </c>
      <c r="E180" s="49"/>
      <c r="F180" s="50">
        <f>39*3.3*0.918</f>
        <v>118.14659999999999</v>
      </c>
      <c r="G180" s="78"/>
      <c r="H180" s="44"/>
    </row>
    <row r="181" spans="1:8">
      <c r="A181" s="38"/>
      <c r="B181" s="39"/>
      <c r="C181" s="39"/>
      <c r="D181" s="53"/>
      <c r="E181" s="49"/>
      <c r="F181" s="50"/>
      <c r="G181" s="78"/>
      <c r="H181" s="44"/>
    </row>
    <row r="182" spans="1:8" ht="63.75">
      <c r="A182" s="38"/>
      <c r="B182" s="39"/>
      <c r="C182" s="39"/>
      <c r="D182" s="53" t="s">
        <v>307</v>
      </c>
      <c r="E182" s="49"/>
      <c r="F182" s="50"/>
      <c r="G182" s="78"/>
      <c r="H182" s="44"/>
    </row>
    <row r="183" spans="1:8">
      <c r="A183" s="142"/>
      <c r="B183" s="143"/>
      <c r="C183" s="144" t="s">
        <v>121</v>
      </c>
      <c r="D183" s="145" t="s">
        <v>122</v>
      </c>
      <c r="E183" s="146"/>
      <c r="F183" s="147"/>
      <c r="G183" s="148"/>
      <c r="H183" s="149"/>
    </row>
    <row r="184" spans="1:8">
      <c r="A184" s="177">
        <v>15</v>
      </c>
      <c r="B184" s="181"/>
      <c r="C184" s="178" t="s">
        <v>123</v>
      </c>
      <c r="D184" s="179" t="s">
        <v>124</v>
      </c>
      <c r="E184" s="178" t="s">
        <v>55</v>
      </c>
      <c r="F184" s="180">
        <v>1</v>
      </c>
      <c r="G184" s="175"/>
      <c r="H184" s="176">
        <f>ROUND((G184*F184),2)</f>
        <v>0</v>
      </c>
    </row>
    <row r="185" spans="1:8">
      <c r="A185" s="101"/>
      <c r="B185" s="102"/>
      <c r="C185" s="102"/>
      <c r="D185" s="104"/>
      <c r="E185" s="59"/>
      <c r="F185" s="60"/>
      <c r="G185" s="43"/>
      <c r="H185" s="44"/>
    </row>
    <row r="186" spans="1:8" ht="25.5">
      <c r="A186" s="177">
        <v>16</v>
      </c>
      <c r="B186" s="170" t="s">
        <v>138</v>
      </c>
      <c r="C186" s="178">
        <v>931241</v>
      </c>
      <c r="D186" s="179" t="s">
        <v>125</v>
      </c>
      <c r="E186" s="178" t="s">
        <v>93</v>
      </c>
      <c r="F186" s="180">
        <f>F188</f>
        <v>36</v>
      </c>
      <c r="G186" s="175"/>
      <c r="H186" s="176">
        <f>ROUND((G186*F186),2)</f>
        <v>0</v>
      </c>
    </row>
    <row r="187" spans="1:8" ht="25.5">
      <c r="A187" s="62"/>
      <c r="B187" s="63"/>
      <c r="C187" s="63"/>
      <c r="D187" s="53" t="s">
        <v>126</v>
      </c>
      <c r="E187" s="63"/>
      <c r="F187" s="65"/>
      <c r="G187" s="66"/>
      <c r="H187" s="67"/>
    </row>
    <row r="188" spans="1:8">
      <c r="A188" s="62"/>
      <c r="B188" s="63"/>
      <c r="C188" s="63"/>
      <c r="D188" s="53" t="s">
        <v>169</v>
      </c>
      <c r="E188" s="63"/>
      <c r="F188" s="68">
        <f>6*2*3</f>
        <v>36</v>
      </c>
      <c r="G188" s="66"/>
      <c r="H188" s="67"/>
    </row>
    <row r="189" spans="1:8">
      <c r="A189" s="62"/>
      <c r="B189" s="63"/>
      <c r="C189" s="63"/>
      <c r="D189" s="53"/>
      <c r="E189" s="63"/>
      <c r="F189" s="68"/>
      <c r="G189" s="66"/>
      <c r="H189" s="67"/>
    </row>
    <row r="190" spans="1:8" ht="25.5">
      <c r="A190" s="62"/>
      <c r="B190" s="63"/>
      <c r="C190" s="63"/>
      <c r="D190" s="53" t="s">
        <v>208</v>
      </c>
      <c r="E190" s="63"/>
      <c r="F190" s="68"/>
      <c r="G190" s="66"/>
      <c r="H190" s="67"/>
    </row>
    <row r="191" spans="1:8">
      <c r="A191" s="24">
        <v>17</v>
      </c>
      <c r="B191" s="33" t="s">
        <v>138</v>
      </c>
      <c r="C191" s="75">
        <v>96618</v>
      </c>
      <c r="D191" s="76" t="s">
        <v>206</v>
      </c>
      <c r="E191" s="28" t="s">
        <v>55</v>
      </c>
      <c r="F191" s="29">
        <f>F192</f>
        <v>40</v>
      </c>
      <c r="G191" s="30"/>
      <c r="H191" s="31">
        <f>F191*G191</f>
        <v>0</v>
      </c>
    </row>
    <row r="192" spans="1:8">
      <c r="A192" s="90"/>
      <c r="B192" s="91"/>
      <c r="C192" s="91"/>
      <c r="D192" s="53" t="s">
        <v>209</v>
      </c>
      <c r="E192" s="92"/>
      <c r="F192" s="50">
        <v>40</v>
      </c>
      <c r="G192" s="66"/>
      <c r="H192" s="67"/>
    </row>
    <row r="193" spans="1:8">
      <c r="A193" s="90"/>
      <c r="B193" s="91"/>
      <c r="C193" s="91"/>
      <c r="D193" s="53"/>
      <c r="E193" s="92"/>
      <c r="F193" s="50"/>
      <c r="G193" s="66"/>
      <c r="H193" s="67"/>
    </row>
    <row r="194" spans="1:8">
      <c r="A194" s="90"/>
      <c r="B194" s="91"/>
      <c r="C194" s="91"/>
      <c r="D194" s="53" t="s">
        <v>210</v>
      </c>
      <c r="E194" s="92"/>
      <c r="F194" s="50"/>
      <c r="G194" s="66"/>
      <c r="H194" s="67"/>
    </row>
    <row r="195" spans="1:8">
      <c r="A195" s="90"/>
      <c r="B195" s="91"/>
      <c r="C195" s="91"/>
      <c r="D195" s="53" t="s">
        <v>211</v>
      </c>
      <c r="E195" s="92"/>
      <c r="F195" s="50"/>
      <c r="G195" s="66"/>
      <c r="H195" s="67"/>
    </row>
    <row r="196" spans="1:8">
      <c r="A196" s="90"/>
      <c r="B196" s="91"/>
      <c r="C196" s="91"/>
      <c r="D196" s="53" t="s">
        <v>212</v>
      </c>
      <c r="E196" s="92"/>
      <c r="F196" s="50"/>
      <c r="G196" s="66"/>
      <c r="H196" s="67"/>
    </row>
    <row r="197" spans="1:8" ht="63.75">
      <c r="A197" s="90"/>
      <c r="B197" s="91"/>
      <c r="C197" s="91"/>
      <c r="D197" s="188" t="s">
        <v>311</v>
      </c>
      <c r="E197" s="92"/>
      <c r="F197" s="50"/>
      <c r="G197" s="66"/>
      <c r="H197" s="67"/>
    </row>
    <row r="198" spans="1:8" ht="25.5">
      <c r="A198" s="90"/>
      <c r="B198" s="91"/>
      <c r="C198" s="91"/>
      <c r="D198" s="53" t="s">
        <v>213</v>
      </c>
      <c r="E198" s="92"/>
      <c r="F198" s="50"/>
      <c r="G198" s="66"/>
      <c r="H198" s="67"/>
    </row>
    <row r="199" spans="1:8" ht="25.5">
      <c r="A199" s="24">
        <v>18</v>
      </c>
      <c r="B199" s="33" t="s">
        <v>138</v>
      </c>
      <c r="C199" s="75">
        <v>96662</v>
      </c>
      <c r="D199" s="76" t="s">
        <v>207</v>
      </c>
      <c r="E199" s="28" t="s">
        <v>77</v>
      </c>
      <c r="F199" s="29">
        <f>F200</f>
        <v>37.5</v>
      </c>
      <c r="G199" s="45"/>
      <c r="H199" s="31">
        <f>ROUND((G199*F199),2)</f>
        <v>0</v>
      </c>
    </row>
    <row r="200" spans="1:8">
      <c r="A200" s="38"/>
      <c r="B200" s="39"/>
      <c r="C200" s="39"/>
      <c r="D200" s="53" t="s">
        <v>171</v>
      </c>
      <c r="E200" s="49"/>
      <c r="F200" s="68">
        <f>300*0.25*0.5</f>
        <v>37.5</v>
      </c>
      <c r="G200" s="78"/>
      <c r="H200" s="44"/>
    </row>
    <row r="201" spans="1:8">
      <c r="A201" s="38"/>
      <c r="B201" s="39"/>
      <c r="C201" s="39"/>
      <c r="D201" s="53"/>
      <c r="E201" s="49"/>
      <c r="F201" s="68"/>
      <c r="G201" s="78"/>
      <c r="H201" s="44"/>
    </row>
    <row r="202" spans="1:8">
      <c r="A202" s="38"/>
      <c r="B202" s="39"/>
      <c r="C202" s="39"/>
      <c r="D202" s="53" t="s">
        <v>210</v>
      </c>
      <c r="E202" s="49"/>
      <c r="F202" s="68"/>
      <c r="G202" s="78"/>
      <c r="H202" s="44"/>
    </row>
    <row r="203" spans="1:8" ht="25.5">
      <c r="A203" s="38"/>
      <c r="B203" s="39"/>
      <c r="C203" s="39"/>
      <c r="D203" s="53" t="s">
        <v>214</v>
      </c>
      <c r="E203" s="49"/>
      <c r="F203" s="68"/>
      <c r="G203" s="78"/>
      <c r="H203" s="44"/>
    </row>
    <row r="204" spans="1:8" ht="25.5">
      <c r="A204" s="38"/>
      <c r="B204" s="39"/>
      <c r="C204" s="39"/>
      <c r="D204" s="53" t="s">
        <v>215</v>
      </c>
      <c r="E204" s="49"/>
      <c r="F204" s="68"/>
      <c r="G204" s="78"/>
      <c r="H204" s="44"/>
    </row>
    <row r="205" spans="1:8">
      <c r="A205" s="38"/>
      <c r="B205" s="39"/>
      <c r="C205" s="39"/>
      <c r="D205" s="53" t="s">
        <v>216</v>
      </c>
      <c r="E205" s="49"/>
      <c r="F205" s="68"/>
      <c r="G205" s="78"/>
      <c r="H205" s="44"/>
    </row>
    <row r="206" spans="1:8" ht="13.5" thickBot="1">
      <c r="A206" s="106"/>
      <c r="B206" s="107"/>
      <c r="C206" s="107"/>
      <c r="D206" s="108" t="s">
        <v>306</v>
      </c>
      <c r="E206" s="183"/>
      <c r="F206" s="121"/>
      <c r="G206" s="122"/>
      <c r="H206" s="109"/>
    </row>
  </sheetData>
  <mergeCells count="8">
    <mergeCell ref="G12:G14"/>
    <mergeCell ref="H12:H14"/>
    <mergeCell ref="A12:A14"/>
    <mergeCell ref="B12:B14"/>
    <mergeCell ref="C12:C14"/>
    <mergeCell ref="D12:D14"/>
    <mergeCell ref="E12:E14"/>
    <mergeCell ref="F12:F14"/>
  </mergeCells>
  <conditionalFormatting sqref="G151:G166">
    <cfRule type="cellIs" dxfId="38" priority="18" stopIfTrue="1" operator="lessThan">
      <formula>0</formula>
    </cfRule>
  </conditionalFormatting>
  <conditionalFormatting sqref="G167:G168">
    <cfRule type="cellIs" dxfId="37" priority="17" stopIfTrue="1" operator="lessThan">
      <formula>0</formula>
    </cfRule>
  </conditionalFormatting>
  <conditionalFormatting sqref="G177">
    <cfRule type="cellIs" dxfId="36" priority="16" stopIfTrue="1" operator="lessThan">
      <formula>0</formula>
    </cfRule>
  </conditionalFormatting>
  <conditionalFormatting sqref="G174">
    <cfRule type="cellIs" dxfId="35" priority="15" stopIfTrue="1" operator="lessThan">
      <formula>0</formula>
    </cfRule>
  </conditionalFormatting>
  <conditionalFormatting sqref="G175">
    <cfRule type="cellIs" dxfId="34" priority="14" stopIfTrue="1" operator="lessThan">
      <formula>0</formula>
    </cfRule>
  </conditionalFormatting>
  <conditionalFormatting sqref="G184">
    <cfRule type="cellIs" dxfId="33" priority="12" stopIfTrue="1" operator="lessThan">
      <formula>0</formula>
    </cfRule>
  </conditionalFormatting>
  <conditionalFormatting sqref="G187:G190">
    <cfRule type="cellIs" dxfId="32" priority="13" stopIfTrue="1" operator="lessThan">
      <formula>0</formula>
    </cfRule>
  </conditionalFormatting>
  <conditionalFormatting sqref="G173">
    <cfRule type="cellIs" dxfId="31" priority="6" stopIfTrue="1" operator="lessThan">
      <formula>0</formula>
    </cfRule>
  </conditionalFormatting>
  <conditionalFormatting sqref="G176">
    <cfRule type="cellIs" dxfId="30" priority="5" stopIfTrue="1" operator="lessThan">
      <formula>0</formula>
    </cfRule>
  </conditionalFormatting>
  <conditionalFormatting sqref="G186">
    <cfRule type="cellIs" dxfId="29" priority="4" stopIfTrue="1" operator="lessThan">
      <formula>0</formula>
    </cfRule>
  </conditionalFormatting>
  <conditionalFormatting sqref="G178">
    <cfRule type="cellIs" dxfId="28" priority="2" stopIfTrue="1" operator="lessThan">
      <formula>0</formula>
    </cfRule>
  </conditionalFormatting>
  <conditionalFormatting sqref="G150">
    <cfRule type="cellIs" dxfId="27" priority="1" stopIfTrue="1" operator="lessThan">
      <formula>0</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6"/>
  <sheetViews>
    <sheetView zoomScaleNormal="100" workbookViewId="0">
      <selection activeCell="B3" sqref="B3"/>
    </sheetView>
  </sheetViews>
  <sheetFormatPr defaultRowHeight="12.75"/>
  <cols>
    <col min="2" max="2" width="11.75" customWidth="1"/>
    <col min="4" max="4" width="50.5" customWidth="1"/>
    <col min="6" max="6" width="12.625" customWidth="1"/>
    <col min="7" max="7" width="12.5" customWidth="1"/>
    <col min="8" max="8" width="16" customWidth="1"/>
    <col min="10" max="10" width="16.25" bestFit="1" customWidth="1"/>
  </cols>
  <sheetData>
    <row r="1" spans="1:10" ht="15">
      <c r="A1" s="4" t="s">
        <v>8</v>
      </c>
    </row>
    <row r="3" spans="1:10">
      <c r="A3" t="s">
        <v>9</v>
      </c>
      <c r="B3" s="23" t="s">
        <v>378</v>
      </c>
    </row>
    <row r="4" spans="1:10">
      <c r="B4" s="23"/>
    </row>
    <row r="5" spans="1:10">
      <c r="A5" t="s">
        <v>10</v>
      </c>
      <c r="B5" s="23" t="s">
        <v>377</v>
      </c>
    </row>
    <row r="6" spans="1:10">
      <c r="B6" s="23"/>
    </row>
    <row r="7" spans="1:10">
      <c r="A7" t="s">
        <v>17</v>
      </c>
      <c r="B7" s="23" t="s">
        <v>326</v>
      </c>
    </row>
    <row r="8" spans="1:10">
      <c r="B8" s="23"/>
    </row>
    <row r="9" spans="1:10">
      <c r="A9" t="s">
        <v>11</v>
      </c>
      <c r="B9" s="23" t="s">
        <v>20</v>
      </c>
      <c r="F9" t="s">
        <v>19</v>
      </c>
      <c r="G9" s="2">
        <f>Rekapitulace!I7</f>
        <v>44446</v>
      </c>
    </row>
    <row r="11" spans="1:10" ht="13.5" thickBot="1">
      <c r="G11" s="186" t="s">
        <v>137</v>
      </c>
      <c r="H11" s="187">
        <f>SUM(H15:H240)</f>
        <v>0</v>
      </c>
    </row>
    <row r="12" spans="1:10">
      <c r="A12" s="252" t="s">
        <v>0</v>
      </c>
      <c r="B12" s="255" t="s">
        <v>1</v>
      </c>
      <c r="C12" s="258" t="s">
        <v>2</v>
      </c>
      <c r="D12" s="261" t="s">
        <v>3</v>
      </c>
      <c r="E12" s="264" t="s">
        <v>4</v>
      </c>
      <c r="F12" s="267" t="s">
        <v>5</v>
      </c>
      <c r="G12" s="246" t="s">
        <v>6</v>
      </c>
      <c r="H12" s="249" t="s">
        <v>7</v>
      </c>
    </row>
    <row r="13" spans="1:10">
      <c r="A13" s="253"/>
      <c r="B13" s="256"/>
      <c r="C13" s="259"/>
      <c r="D13" s="262"/>
      <c r="E13" s="265"/>
      <c r="F13" s="268"/>
      <c r="G13" s="247"/>
      <c r="H13" s="250"/>
    </row>
    <row r="14" spans="1:10" ht="13.5" thickBot="1">
      <c r="A14" s="254"/>
      <c r="B14" s="257"/>
      <c r="C14" s="260"/>
      <c r="D14" s="263"/>
      <c r="E14" s="266"/>
      <c r="F14" s="269"/>
      <c r="G14" s="248"/>
      <c r="H14" s="251"/>
    </row>
    <row r="15" spans="1:10">
      <c r="A15" s="142"/>
      <c r="B15" s="143"/>
      <c r="C15" s="144" t="s">
        <v>70</v>
      </c>
      <c r="D15" s="159" t="s">
        <v>71</v>
      </c>
      <c r="E15" s="146"/>
      <c r="F15" s="147"/>
      <c r="G15" s="148"/>
      <c r="H15" s="149"/>
    </row>
    <row r="16" spans="1:10">
      <c r="A16" s="24">
        <v>1</v>
      </c>
      <c r="B16" s="33" t="s">
        <v>138</v>
      </c>
      <c r="C16" s="75">
        <v>17411</v>
      </c>
      <c r="D16" s="76" t="s">
        <v>72</v>
      </c>
      <c r="E16" s="28" t="s">
        <v>73</v>
      </c>
      <c r="F16" s="29">
        <f>F18</f>
        <v>12.470597999999999</v>
      </c>
      <c r="G16" s="45"/>
      <c r="H16" s="31">
        <f>ROUND((G16*F16),2)</f>
        <v>0</v>
      </c>
      <c r="J16" s="229"/>
    </row>
    <row r="17" spans="1:8">
      <c r="A17" s="38"/>
      <c r="B17" s="39"/>
      <c r="C17" s="39"/>
      <c r="D17" s="53" t="s">
        <v>74</v>
      </c>
      <c r="E17" s="77"/>
      <c r="F17" s="42"/>
      <c r="G17" s="78"/>
      <c r="H17" s="44"/>
    </row>
    <row r="18" spans="1:8">
      <c r="A18" s="38"/>
      <c r="B18" s="39"/>
      <c r="C18" s="74"/>
      <c r="D18" s="40" t="s">
        <v>176</v>
      </c>
      <c r="E18" s="77"/>
      <c r="F18" s="124">
        <f>3.142*0.3*0.3*0.7*63</f>
        <v>12.470597999999999</v>
      </c>
      <c r="G18" s="61"/>
      <c r="H18" s="44"/>
    </row>
    <row r="19" spans="1:8">
      <c r="A19" s="38"/>
      <c r="B19" s="39"/>
      <c r="C19" s="74"/>
      <c r="D19" s="40"/>
      <c r="E19" s="77"/>
      <c r="F19" s="124"/>
      <c r="G19" s="61"/>
      <c r="H19" s="44"/>
    </row>
    <row r="20" spans="1:8">
      <c r="A20" s="38"/>
      <c r="B20" s="39"/>
      <c r="C20" s="74"/>
      <c r="D20" s="40" t="s">
        <v>210</v>
      </c>
      <c r="E20" s="77"/>
      <c r="F20" s="124"/>
      <c r="G20" s="61"/>
      <c r="H20" s="44"/>
    </row>
    <row r="21" spans="1:8" ht="25.5">
      <c r="A21" s="38"/>
      <c r="B21" s="39"/>
      <c r="C21" s="74"/>
      <c r="D21" s="40" t="s">
        <v>220</v>
      </c>
      <c r="E21" s="77"/>
      <c r="F21" s="124"/>
      <c r="G21" s="61"/>
      <c r="H21" s="44"/>
    </row>
    <row r="22" spans="1:8" ht="38.25">
      <c r="A22" s="38"/>
      <c r="B22" s="39"/>
      <c r="C22" s="74"/>
      <c r="D22" s="40" t="s">
        <v>217</v>
      </c>
      <c r="E22" s="77"/>
      <c r="F22" s="124"/>
      <c r="G22" s="61"/>
      <c r="H22" s="44"/>
    </row>
    <row r="23" spans="1:8">
      <c r="A23" s="38"/>
      <c r="B23" s="39"/>
      <c r="C23" s="74"/>
      <c r="D23" s="40" t="s">
        <v>221</v>
      </c>
      <c r="E23" s="77"/>
      <c r="F23" s="124"/>
      <c r="G23" s="61"/>
      <c r="H23" s="44"/>
    </row>
    <row r="24" spans="1:8" ht="25.5">
      <c r="A24" s="38"/>
      <c r="B24" s="39"/>
      <c r="C24" s="74"/>
      <c r="D24" s="40" t="s">
        <v>222</v>
      </c>
      <c r="E24" s="77"/>
      <c r="F24" s="124"/>
      <c r="G24" s="61"/>
      <c r="H24" s="44"/>
    </row>
    <row r="25" spans="1:8" ht="25.5">
      <c r="A25" s="38"/>
      <c r="B25" s="39"/>
      <c r="C25" s="74"/>
      <c r="D25" s="40" t="s">
        <v>218</v>
      </c>
      <c r="E25" s="77"/>
      <c r="F25" s="124"/>
      <c r="G25" s="61"/>
      <c r="H25" s="44"/>
    </row>
    <row r="26" spans="1:8" ht="25.5">
      <c r="A26" s="38"/>
      <c r="B26" s="39"/>
      <c r="C26" s="74"/>
      <c r="D26" s="40" t="s">
        <v>223</v>
      </c>
      <c r="E26" s="77"/>
      <c r="F26" s="124"/>
      <c r="G26" s="61"/>
      <c r="H26" s="44"/>
    </row>
    <row r="27" spans="1:8">
      <c r="A27" s="38"/>
      <c r="B27" s="39"/>
      <c r="C27" s="74"/>
      <c r="D27" s="40" t="s">
        <v>224</v>
      </c>
      <c r="E27" s="77"/>
      <c r="F27" s="124"/>
      <c r="G27" s="61"/>
      <c r="H27" s="44"/>
    </row>
    <row r="28" spans="1:8" ht="25.5">
      <c r="A28" s="38"/>
      <c r="B28" s="39"/>
      <c r="C28" s="74"/>
      <c r="D28" s="40" t="s">
        <v>225</v>
      </c>
      <c r="E28" s="77"/>
      <c r="F28" s="124"/>
      <c r="G28" s="61"/>
      <c r="H28" s="44"/>
    </row>
    <row r="29" spans="1:8">
      <c r="A29" s="38"/>
      <c r="B29" s="39"/>
      <c r="C29" s="74"/>
      <c r="D29" s="40" t="s">
        <v>226</v>
      </c>
      <c r="E29" s="77"/>
      <c r="F29" s="124"/>
      <c r="G29" s="61"/>
      <c r="H29" s="44"/>
    </row>
    <row r="30" spans="1:8">
      <c r="A30" s="38"/>
      <c r="B30" s="39"/>
      <c r="C30" s="74"/>
      <c r="D30" s="40" t="s">
        <v>227</v>
      </c>
      <c r="E30" s="77"/>
      <c r="F30" s="124"/>
      <c r="G30" s="61"/>
      <c r="H30" s="44"/>
    </row>
    <row r="31" spans="1:8">
      <c r="A31" s="38"/>
      <c r="B31" s="39"/>
      <c r="C31" s="74"/>
      <c r="D31" s="40" t="s">
        <v>228</v>
      </c>
      <c r="E31" s="77"/>
      <c r="F31" s="124"/>
      <c r="G31" s="61"/>
      <c r="H31" s="44"/>
    </row>
    <row r="32" spans="1:8">
      <c r="A32" s="38"/>
      <c r="B32" s="39"/>
      <c r="C32" s="74"/>
      <c r="D32" s="40" t="s">
        <v>229</v>
      </c>
      <c r="E32" s="77"/>
      <c r="F32" s="124"/>
      <c r="G32" s="61"/>
      <c r="H32" s="44"/>
    </row>
    <row r="33" spans="1:8" ht="38.25">
      <c r="A33" s="38"/>
      <c r="B33" s="39"/>
      <c r="C33" s="74"/>
      <c r="D33" s="40" t="s">
        <v>219</v>
      </c>
      <c r="E33" s="77"/>
      <c r="F33" s="124"/>
      <c r="G33" s="61"/>
      <c r="H33" s="44"/>
    </row>
    <row r="34" spans="1:8">
      <c r="A34" s="32">
        <v>2</v>
      </c>
      <c r="B34" s="33" t="s">
        <v>138</v>
      </c>
      <c r="C34" s="34">
        <v>18130</v>
      </c>
      <c r="D34" s="35" t="s">
        <v>76</v>
      </c>
      <c r="E34" s="36" t="s">
        <v>77</v>
      </c>
      <c r="F34" s="37">
        <f>F36</f>
        <v>486</v>
      </c>
      <c r="G34" s="45"/>
      <c r="H34" s="31">
        <f>ROUND((G34*F34),2)</f>
        <v>0</v>
      </c>
    </row>
    <row r="35" spans="1:8">
      <c r="A35" s="79"/>
      <c r="B35" s="80"/>
      <c r="C35" s="80"/>
      <c r="D35" s="53" t="s">
        <v>177</v>
      </c>
      <c r="E35" s="81"/>
      <c r="F35" s="82"/>
      <c r="G35" s="83"/>
      <c r="H35" s="67"/>
    </row>
    <row r="36" spans="1:8">
      <c r="A36" s="38"/>
      <c r="B36" s="39"/>
      <c r="C36" s="74"/>
      <c r="D36" s="53" t="s">
        <v>178</v>
      </c>
      <c r="E36" s="41"/>
      <c r="F36" s="124">
        <f>486*1</f>
        <v>486</v>
      </c>
      <c r="G36" s="61"/>
      <c r="H36" s="44"/>
    </row>
    <row r="37" spans="1:8">
      <c r="A37" s="38"/>
      <c r="B37" s="39"/>
      <c r="C37" s="74"/>
      <c r="D37" s="53"/>
      <c r="E37" s="41"/>
      <c r="F37" s="124"/>
      <c r="G37" s="61"/>
      <c r="H37" s="44"/>
    </row>
    <row r="38" spans="1:8">
      <c r="A38" s="38"/>
      <c r="B38" s="39"/>
      <c r="C38" s="74"/>
      <c r="D38" s="53" t="s">
        <v>230</v>
      </c>
      <c r="E38" s="41"/>
      <c r="F38" s="124"/>
      <c r="G38" s="61"/>
      <c r="H38" s="44"/>
    </row>
    <row r="39" spans="1:8">
      <c r="A39" s="84"/>
      <c r="B39" s="85"/>
      <c r="C39" s="85" t="s">
        <v>80</v>
      </c>
      <c r="D39" s="86" t="s">
        <v>81</v>
      </c>
      <c r="E39" s="87"/>
      <c r="F39" s="88"/>
      <c r="G39" s="87"/>
      <c r="H39" s="89"/>
    </row>
    <row r="40" spans="1:8">
      <c r="A40" s="24">
        <v>3</v>
      </c>
      <c r="B40" s="33" t="s">
        <v>138</v>
      </c>
      <c r="C40" s="75">
        <v>224324</v>
      </c>
      <c r="D40" s="76" t="s">
        <v>82</v>
      </c>
      <c r="E40" s="28" t="s">
        <v>73</v>
      </c>
      <c r="F40" s="29">
        <f>F42</f>
        <v>64.815933104999999</v>
      </c>
      <c r="G40" s="45"/>
      <c r="H40" s="31">
        <f>ROUND((G40*F40),2)</f>
        <v>0</v>
      </c>
    </row>
    <row r="41" spans="1:8">
      <c r="A41" s="90"/>
      <c r="B41" s="91"/>
      <c r="C41" s="91"/>
      <c r="D41" s="53" t="s">
        <v>83</v>
      </c>
      <c r="E41" s="92"/>
      <c r="F41" s="93"/>
      <c r="G41" s="66"/>
      <c r="H41" s="67"/>
    </row>
    <row r="42" spans="1:8">
      <c r="A42" s="38"/>
      <c r="B42" s="39"/>
      <c r="C42" s="39"/>
      <c r="D42" s="40" t="s">
        <v>179</v>
      </c>
      <c r="E42" s="77"/>
      <c r="F42" s="68">
        <f>3.142*0.63/2*0.63/2*(4-0.7)*63</f>
        <v>64.815933104999999</v>
      </c>
      <c r="G42" s="78"/>
      <c r="H42" s="44"/>
    </row>
    <row r="43" spans="1:8">
      <c r="A43" s="38"/>
      <c r="B43" s="39"/>
      <c r="C43" s="39"/>
      <c r="D43" s="40"/>
      <c r="E43" s="77"/>
      <c r="F43" s="68"/>
      <c r="G43" s="78"/>
      <c r="H43" s="44"/>
    </row>
    <row r="44" spans="1:8">
      <c r="A44" s="38"/>
      <c r="B44" s="39"/>
      <c r="C44" s="39"/>
      <c r="D44" s="40" t="s">
        <v>210</v>
      </c>
      <c r="E44" s="77"/>
      <c r="F44" s="68"/>
      <c r="G44" s="78"/>
      <c r="H44" s="44"/>
    </row>
    <row r="45" spans="1:8" ht="51">
      <c r="A45" s="38"/>
      <c r="B45" s="39"/>
      <c r="C45" s="39"/>
      <c r="D45" s="40" t="s">
        <v>231</v>
      </c>
      <c r="E45" s="77"/>
      <c r="F45" s="68"/>
      <c r="G45" s="78"/>
      <c r="H45" s="44"/>
    </row>
    <row r="46" spans="1:8" ht="25.5">
      <c r="A46" s="38"/>
      <c r="B46" s="39"/>
      <c r="C46" s="39"/>
      <c r="D46" s="40" t="s">
        <v>232</v>
      </c>
      <c r="E46" s="77"/>
      <c r="F46" s="68"/>
      <c r="G46" s="78"/>
      <c r="H46" s="44"/>
    </row>
    <row r="47" spans="1:8">
      <c r="A47" s="38"/>
      <c r="B47" s="39"/>
      <c r="C47" s="39"/>
      <c r="D47" s="40" t="s">
        <v>245</v>
      </c>
      <c r="E47" s="77"/>
      <c r="F47" s="68"/>
      <c r="G47" s="78"/>
      <c r="H47" s="44"/>
    </row>
    <row r="48" spans="1:8" ht="25.5">
      <c r="A48" s="38"/>
      <c r="B48" s="39"/>
      <c r="C48" s="39"/>
      <c r="D48" s="40" t="s">
        <v>233</v>
      </c>
      <c r="E48" s="77"/>
      <c r="F48" s="68"/>
      <c r="G48" s="78"/>
      <c r="H48" s="44"/>
    </row>
    <row r="49" spans="1:8" ht="51">
      <c r="A49" s="38"/>
      <c r="B49" s="39"/>
      <c r="C49" s="39"/>
      <c r="D49" s="40" t="s">
        <v>235</v>
      </c>
      <c r="E49" s="77"/>
      <c r="F49" s="68"/>
      <c r="G49" s="78"/>
      <c r="H49" s="44"/>
    </row>
    <row r="50" spans="1:8">
      <c r="A50" s="38"/>
      <c r="B50" s="39"/>
      <c r="C50" s="39"/>
      <c r="D50" s="40" t="s">
        <v>236</v>
      </c>
      <c r="E50" s="77"/>
      <c r="F50" s="68"/>
      <c r="G50" s="78"/>
      <c r="H50" s="44"/>
    </row>
    <row r="51" spans="1:8" ht="38.25">
      <c r="A51" s="38"/>
      <c r="B51" s="39"/>
      <c r="C51" s="39"/>
      <c r="D51" s="40" t="s">
        <v>237</v>
      </c>
      <c r="E51" s="77"/>
      <c r="F51" s="68"/>
      <c r="G51" s="78"/>
      <c r="H51" s="44"/>
    </row>
    <row r="52" spans="1:8">
      <c r="A52" s="38"/>
      <c r="B52" s="39"/>
      <c r="C52" s="39"/>
      <c r="D52" s="40" t="s">
        <v>238</v>
      </c>
      <c r="E52" s="77"/>
      <c r="F52" s="68"/>
      <c r="G52" s="78"/>
      <c r="H52" s="44"/>
    </row>
    <row r="53" spans="1:8" ht="25.5">
      <c r="A53" s="38"/>
      <c r="B53" s="39"/>
      <c r="C53" s="39"/>
      <c r="D53" s="40" t="s">
        <v>239</v>
      </c>
      <c r="E53" s="77"/>
      <c r="F53" s="68"/>
      <c r="G53" s="78"/>
      <c r="H53" s="44"/>
    </row>
    <row r="54" spans="1:8">
      <c r="A54" s="38"/>
      <c r="B54" s="39"/>
      <c r="C54" s="39"/>
      <c r="D54" s="40" t="s">
        <v>246</v>
      </c>
      <c r="E54" s="77"/>
      <c r="F54" s="68"/>
      <c r="G54" s="78"/>
      <c r="H54" s="44"/>
    </row>
    <row r="55" spans="1:8">
      <c r="A55" s="38"/>
      <c r="B55" s="39"/>
      <c r="C55" s="39"/>
      <c r="D55" s="40" t="s">
        <v>247</v>
      </c>
      <c r="E55" s="77"/>
      <c r="F55" s="68"/>
      <c r="G55" s="78"/>
      <c r="H55" s="44"/>
    </row>
    <row r="56" spans="1:8">
      <c r="A56" s="38"/>
      <c r="B56" s="39"/>
      <c r="C56" s="39"/>
      <c r="D56" s="40" t="s">
        <v>240</v>
      </c>
      <c r="E56" s="77"/>
      <c r="F56" s="68"/>
      <c r="G56" s="78"/>
      <c r="H56" s="44"/>
    </row>
    <row r="57" spans="1:8" ht="25.5">
      <c r="A57" s="38"/>
      <c r="B57" s="39"/>
      <c r="C57" s="39"/>
      <c r="D57" s="40" t="s">
        <v>241</v>
      </c>
      <c r="E57" s="77"/>
      <c r="F57" s="68"/>
      <c r="G57" s="78"/>
      <c r="H57" s="44"/>
    </row>
    <row r="58" spans="1:8">
      <c r="A58" s="38"/>
      <c r="B58" s="39"/>
      <c r="C58" s="39"/>
      <c r="D58" s="40" t="s">
        <v>248</v>
      </c>
      <c r="E58" s="77"/>
      <c r="F58" s="68"/>
      <c r="G58" s="78"/>
      <c r="H58" s="44"/>
    </row>
    <row r="59" spans="1:8" ht="25.5">
      <c r="A59" s="38"/>
      <c r="B59" s="39"/>
      <c r="C59" s="39"/>
      <c r="D59" s="40" t="s">
        <v>249</v>
      </c>
      <c r="E59" s="77"/>
      <c r="F59" s="68"/>
      <c r="G59" s="78"/>
      <c r="H59" s="44"/>
    </row>
    <row r="60" spans="1:8" ht="25.5">
      <c r="A60" s="38"/>
      <c r="B60" s="39"/>
      <c r="C60" s="39"/>
      <c r="D60" s="40" t="s">
        <v>242</v>
      </c>
      <c r="E60" s="77"/>
      <c r="F60" s="68"/>
      <c r="G60" s="78"/>
      <c r="H60" s="44"/>
    </row>
    <row r="61" spans="1:8" ht="25.5">
      <c r="A61" s="38"/>
      <c r="B61" s="39"/>
      <c r="C61" s="39"/>
      <c r="D61" s="40" t="s">
        <v>250</v>
      </c>
      <c r="E61" s="77"/>
      <c r="F61" s="68"/>
      <c r="G61" s="78"/>
      <c r="H61" s="44"/>
    </row>
    <row r="62" spans="1:8" ht="25.5">
      <c r="A62" s="38"/>
      <c r="B62" s="39"/>
      <c r="C62" s="39"/>
      <c r="D62" s="40" t="s">
        <v>251</v>
      </c>
      <c r="E62" s="77"/>
      <c r="F62" s="68"/>
      <c r="G62" s="78"/>
      <c r="H62" s="44"/>
    </row>
    <row r="63" spans="1:8">
      <c r="A63" s="38"/>
      <c r="B63" s="39"/>
      <c r="C63" s="39"/>
      <c r="D63" s="40" t="s">
        <v>252</v>
      </c>
      <c r="E63" s="77"/>
      <c r="F63" s="68"/>
      <c r="G63" s="78"/>
      <c r="H63" s="44"/>
    </row>
    <row r="64" spans="1:8" ht="25.5">
      <c r="A64" s="38"/>
      <c r="B64" s="39"/>
      <c r="C64" s="39"/>
      <c r="D64" s="40" t="s">
        <v>243</v>
      </c>
      <c r="E64" s="77"/>
      <c r="F64" s="68"/>
      <c r="G64" s="78"/>
      <c r="H64" s="44"/>
    </row>
    <row r="65" spans="1:8">
      <c r="A65" s="38"/>
      <c r="B65" s="39"/>
      <c r="C65" s="39"/>
      <c r="D65" s="40" t="s">
        <v>244</v>
      </c>
      <c r="E65" s="77"/>
      <c r="F65" s="68"/>
      <c r="G65" s="78"/>
      <c r="H65" s="44"/>
    </row>
    <row r="66" spans="1:8">
      <c r="A66" s="24">
        <v>4</v>
      </c>
      <c r="B66" s="25"/>
      <c r="C66" s="75" t="s">
        <v>202</v>
      </c>
      <c r="D66" s="76" t="s">
        <v>85</v>
      </c>
      <c r="E66" s="28" t="s">
        <v>55</v>
      </c>
      <c r="F66" s="58">
        <v>63</v>
      </c>
      <c r="G66" s="30"/>
      <c r="H66" s="31">
        <f>ROUND((G66*F66),2)</f>
        <v>0</v>
      </c>
    </row>
    <row r="67" spans="1:8">
      <c r="A67" s="90"/>
      <c r="B67" s="91"/>
      <c r="C67" s="91"/>
      <c r="D67" s="94"/>
      <c r="E67" s="95"/>
      <c r="F67" s="96"/>
      <c r="G67" s="97"/>
      <c r="H67" s="44"/>
    </row>
    <row r="68" spans="1:8">
      <c r="A68" s="24">
        <v>5</v>
      </c>
      <c r="B68" s="33" t="s">
        <v>309</v>
      </c>
      <c r="C68" s="75">
        <v>224325</v>
      </c>
      <c r="D68" s="76" t="s">
        <v>86</v>
      </c>
      <c r="E68" s="28" t="s">
        <v>73</v>
      </c>
      <c r="F68" s="58">
        <f>SUM(F70:F70)</f>
        <v>13.748834295</v>
      </c>
      <c r="G68" s="45"/>
      <c r="H68" s="31">
        <f>ROUND((G68*F68),2)</f>
        <v>0</v>
      </c>
    </row>
    <row r="69" spans="1:8">
      <c r="A69" s="90"/>
      <c r="B69" s="91"/>
      <c r="C69" s="91"/>
      <c r="D69" s="53" t="s">
        <v>87</v>
      </c>
      <c r="E69" s="91"/>
      <c r="F69" s="65"/>
      <c r="G69" s="78"/>
      <c r="H69" s="44"/>
    </row>
    <row r="70" spans="1:8">
      <c r="A70" s="90"/>
      <c r="B70" s="91"/>
      <c r="C70" s="91"/>
      <c r="D70" s="40" t="s">
        <v>180</v>
      </c>
      <c r="E70" s="77"/>
      <c r="F70" s="68">
        <f>3.142*0.63/2*0.63/2*0.7*63</f>
        <v>13.748834295</v>
      </c>
      <c r="G70" s="78"/>
      <c r="H70" s="44"/>
    </row>
    <row r="71" spans="1:8">
      <c r="A71" s="90"/>
      <c r="B71" s="91"/>
      <c r="C71" s="91"/>
      <c r="D71" s="40"/>
      <c r="E71" s="77"/>
      <c r="F71" s="68"/>
      <c r="G71" s="78"/>
      <c r="H71" s="44"/>
    </row>
    <row r="72" spans="1:8">
      <c r="A72" s="90"/>
      <c r="B72" s="91"/>
      <c r="C72" s="91"/>
      <c r="D72" s="40" t="s">
        <v>210</v>
      </c>
      <c r="E72" s="77"/>
      <c r="F72" s="68"/>
      <c r="G72" s="78"/>
      <c r="H72" s="44"/>
    </row>
    <row r="73" spans="1:8" ht="51">
      <c r="A73" s="90"/>
      <c r="B73" s="91"/>
      <c r="C73" s="91"/>
      <c r="D73" s="40" t="s">
        <v>231</v>
      </c>
      <c r="E73" s="77"/>
      <c r="F73" s="68"/>
      <c r="G73" s="78"/>
      <c r="H73" s="44"/>
    </row>
    <row r="74" spans="1:8" ht="25.5">
      <c r="A74" s="90"/>
      <c r="B74" s="91"/>
      <c r="C74" s="91"/>
      <c r="D74" s="40" t="s">
        <v>232</v>
      </c>
      <c r="E74" s="77"/>
      <c r="F74" s="68"/>
      <c r="G74" s="78"/>
      <c r="H74" s="44"/>
    </row>
    <row r="75" spans="1:8">
      <c r="A75" s="90"/>
      <c r="B75" s="91"/>
      <c r="C75" s="91"/>
      <c r="D75" s="40" t="s">
        <v>245</v>
      </c>
      <c r="E75" s="77"/>
      <c r="F75" s="68"/>
      <c r="G75" s="78"/>
      <c r="H75" s="44"/>
    </row>
    <row r="76" spans="1:8" ht="25.5">
      <c r="A76" s="90"/>
      <c r="B76" s="91"/>
      <c r="C76" s="91"/>
      <c r="D76" s="40" t="s">
        <v>233</v>
      </c>
      <c r="E76" s="77"/>
      <c r="F76" s="68"/>
      <c r="G76" s="78"/>
      <c r="H76" s="44"/>
    </row>
    <row r="77" spans="1:8" ht="38.25">
      <c r="A77" s="90"/>
      <c r="B77" s="91"/>
      <c r="C77" s="91"/>
      <c r="D77" s="40" t="s">
        <v>234</v>
      </c>
      <c r="E77" s="77"/>
      <c r="F77" s="68"/>
      <c r="G77" s="78"/>
      <c r="H77" s="44"/>
    </row>
    <row r="78" spans="1:8" ht="51">
      <c r="A78" s="90"/>
      <c r="B78" s="91"/>
      <c r="C78" s="91"/>
      <c r="D78" s="40" t="s">
        <v>235</v>
      </c>
      <c r="E78" s="77"/>
      <c r="F78" s="68"/>
      <c r="G78" s="78"/>
      <c r="H78" s="44"/>
    </row>
    <row r="79" spans="1:8">
      <c r="A79" s="90"/>
      <c r="B79" s="91"/>
      <c r="C79" s="91"/>
      <c r="D79" s="40" t="s">
        <v>236</v>
      </c>
      <c r="E79" s="77"/>
      <c r="F79" s="68"/>
      <c r="G79" s="78"/>
      <c r="H79" s="44"/>
    </row>
    <row r="80" spans="1:8" ht="38.25">
      <c r="A80" s="90"/>
      <c r="B80" s="91"/>
      <c r="C80" s="91"/>
      <c r="D80" s="40" t="s">
        <v>237</v>
      </c>
      <c r="E80" s="77"/>
      <c r="F80" s="68"/>
      <c r="G80" s="78"/>
      <c r="H80" s="44"/>
    </row>
    <row r="81" spans="1:8">
      <c r="A81" s="90"/>
      <c r="B81" s="91"/>
      <c r="C81" s="91"/>
      <c r="D81" s="40" t="s">
        <v>238</v>
      </c>
      <c r="E81" s="77"/>
      <c r="F81" s="68"/>
      <c r="G81" s="78"/>
      <c r="H81" s="44"/>
    </row>
    <row r="82" spans="1:8" ht="25.5">
      <c r="A82" s="90"/>
      <c r="B82" s="91"/>
      <c r="C82" s="91"/>
      <c r="D82" s="40" t="s">
        <v>239</v>
      </c>
      <c r="E82" s="77"/>
      <c r="F82" s="68"/>
      <c r="G82" s="78"/>
      <c r="H82" s="44"/>
    </row>
    <row r="83" spans="1:8">
      <c r="A83" s="90"/>
      <c r="B83" s="91"/>
      <c r="C83" s="91"/>
      <c r="D83" s="40" t="s">
        <v>246</v>
      </c>
      <c r="E83" s="77"/>
      <c r="F83" s="68"/>
      <c r="G83" s="78"/>
      <c r="H83" s="44"/>
    </row>
    <row r="84" spans="1:8">
      <c r="A84" s="90"/>
      <c r="B84" s="91"/>
      <c r="C84" s="91"/>
      <c r="D84" s="40" t="s">
        <v>247</v>
      </c>
      <c r="E84" s="77"/>
      <c r="F84" s="68"/>
      <c r="G84" s="78"/>
      <c r="H84" s="44"/>
    </row>
    <row r="85" spans="1:8">
      <c r="A85" s="90"/>
      <c r="B85" s="91"/>
      <c r="C85" s="91"/>
      <c r="D85" s="40" t="s">
        <v>240</v>
      </c>
      <c r="E85" s="77"/>
      <c r="F85" s="68"/>
      <c r="G85" s="78"/>
      <c r="H85" s="44"/>
    </row>
    <row r="86" spans="1:8" ht="25.5">
      <c r="A86" s="90"/>
      <c r="B86" s="91"/>
      <c r="C86" s="91"/>
      <c r="D86" s="40" t="s">
        <v>241</v>
      </c>
      <c r="E86" s="77"/>
      <c r="F86" s="68"/>
      <c r="G86" s="78"/>
      <c r="H86" s="44"/>
    </row>
    <row r="87" spans="1:8">
      <c r="A87" s="90"/>
      <c r="B87" s="91"/>
      <c r="C87" s="91"/>
      <c r="D87" s="40" t="s">
        <v>248</v>
      </c>
      <c r="E87" s="77"/>
      <c r="F87" s="68"/>
      <c r="G87" s="78"/>
      <c r="H87" s="44"/>
    </row>
    <row r="88" spans="1:8" ht="25.5">
      <c r="A88" s="90"/>
      <c r="B88" s="91"/>
      <c r="C88" s="91"/>
      <c r="D88" s="40" t="s">
        <v>249</v>
      </c>
      <c r="E88" s="77"/>
      <c r="F88" s="68"/>
      <c r="G88" s="78"/>
      <c r="H88" s="44"/>
    </row>
    <row r="89" spans="1:8" ht="25.5">
      <c r="A89" s="90"/>
      <c r="B89" s="91"/>
      <c r="C89" s="91"/>
      <c r="D89" s="40" t="s">
        <v>242</v>
      </c>
      <c r="E89" s="77"/>
      <c r="F89" s="68"/>
      <c r="G89" s="78"/>
      <c r="H89" s="44"/>
    </row>
    <row r="90" spans="1:8" ht="25.5">
      <c r="A90" s="90"/>
      <c r="B90" s="91"/>
      <c r="C90" s="91"/>
      <c r="D90" s="40" t="s">
        <v>250</v>
      </c>
      <c r="E90" s="77"/>
      <c r="F90" s="68"/>
      <c r="G90" s="78"/>
      <c r="H90" s="44"/>
    </row>
    <row r="91" spans="1:8" ht="25.5">
      <c r="A91" s="90"/>
      <c r="B91" s="91"/>
      <c r="C91" s="91"/>
      <c r="D91" s="40" t="s">
        <v>251</v>
      </c>
      <c r="E91" s="77"/>
      <c r="F91" s="68"/>
      <c r="G91" s="78"/>
      <c r="H91" s="44"/>
    </row>
    <row r="92" spans="1:8">
      <c r="A92" s="90"/>
      <c r="B92" s="91"/>
      <c r="C92" s="91"/>
      <c r="D92" s="40" t="s">
        <v>252</v>
      </c>
      <c r="E92" s="77"/>
      <c r="F92" s="68"/>
      <c r="G92" s="78"/>
      <c r="H92" s="44"/>
    </row>
    <row r="93" spans="1:8" ht="25.5">
      <c r="A93" s="90"/>
      <c r="B93" s="91"/>
      <c r="C93" s="91"/>
      <c r="D93" s="40" t="s">
        <v>243</v>
      </c>
      <c r="E93" s="77"/>
      <c r="F93" s="68"/>
      <c r="G93" s="78"/>
      <c r="H93" s="44"/>
    </row>
    <row r="94" spans="1:8">
      <c r="A94" s="90"/>
      <c r="B94" s="91"/>
      <c r="C94" s="91"/>
      <c r="D94" s="40" t="s">
        <v>244</v>
      </c>
      <c r="E94" s="77"/>
      <c r="F94" s="68"/>
      <c r="G94" s="78"/>
      <c r="H94" s="44"/>
    </row>
    <row r="95" spans="1:8">
      <c r="A95" s="169">
        <v>6</v>
      </c>
      <c r="B95" s="170" t="s">
        <v>138</v>
      </c>
      <c r="C95" s="171">
        <v>224365</v>
      </c>
      <c r="D95" s="172" t="s">
        <v>89</v>
      </c>
      <c r="E95" s="173" t="s">
        <v>43</v>
      </c>
      <c r="F95" s="174">
        <f>F97</f>
        <v>9.4277720879999993</v>
      </c>
      <c r="G95" s="175"/>
      <c r="H95" s="176">
        <f>ROUND((G95*F95),2)</f>
        <v>0</v>
      </c>
    </row>
    <row r="96" spans="1:8">
      <c r="A96" s="38"/>
      <c r="B96" s="39"/>
      <c r="C96" s="39"/>
      <c r="D96" s="53" t="s">
        <v>90</v>
      </c>
      <c r="E96" s="91"/>
      <c r="F96" s="93"/>
      <c r="G96" s="78"/>
      <c r="H96" s="44"/>
    </row>
    <row r="97" spans="1:8">
      <c r="A97" s="38"/>
      <c r="B97" s="39"/>
      <c r="C97" s="39"/>
      <c r="D97" s="53" t="s">
        <v>181</v>
      </c>
      <c r="E97" s="91"/>
      <c r="F97" s="42">
        <f>(F40+F68)*120/1000</f>
        <v>9.4277720879999993</v>
      </c>
      <c r="G97" s="78"/>
      <c r="H97" s="44"/>
    </row>
    <row r="98" spans="1:8">
      <c r="A98" s="38"/>
      <c r="B98" s="39"/>
      <c r="C98" s="39"/>
      <c r="D98" s="53"/>
      <c r="E98" s="91"/>
      <c r="F98" s="42"/>
      <c r="G98" s="78"/>
      <c r="H98" s="44"/>
    </row>
    <row r="99" spans="1:8">
      <c r="A99" s="38"/>
      <c r="B99" s="39"/>
      <c r="C99" s="39"/>
      <c r="D99" s="53" t="s">
        <v>210</v>
      </c>
      <c r="E99" s="91"/>
      <c r="F99" s="42"/>
      <c r="G99" s="78"/>
      <c r="H99" s="44"/>
    </row>
    <row r="100" spans="1:8" ht="25.5">
      <c r="A100" s="38"/>
      <c r="B100" s="39"/>
      <c r="C100" s="39"/>
      <c r="D100" s="53" t="s">
        <v>243</v>
      </c>
      <c r="E100" s="91"/>
      <c r="F100" s="42"/>
      <c r="G100" s="78"/>
      <c r="H100" s="44"/>
    </row>
    <row r="101" spans="1:8" ht="51">
      <c r="A101" s="38"/>
      <c r="B101" s="39"/>
      <c r="C101" s="39"/>
      <c r="D101" s="53" t="s">
        <v>253</v>
      </c>
      <c r="E101" s="91"/>
      <c r="F101" s="42"/>
      <c r="G101" s="78"/>
      <c r="H101" s="44"/>
    </row>
    <row r="102" spans="1:8">
      <c r="A102" s="38"/>
      <c r="B102" s="39"/>
      <c r="C102" s="39"/>
      <c r="D102" s="53" t="s">
        <v>256</v>
      </c>
      <c r="E102" s="91"/>
      <c r="F102" s="42"/>
      <c r="G102" s="78"/>
      <c r="H102" s="44"/>
    </row>
    <row r="103" spans="1:8">
      <c r="A103" s="38"/>
      <c r="B103" s="39"/>
      <c r="C103" s="39"/>
      <c r="D103" s="53" t="s">
        <v>257</v>
      </c>
      <c r="E103" s="91"/>
      <c r="F103" s="42"/>
      <c r="G103" s="78"/>
      <c r="H103" s="44"/>
    </row>
    <row r="104" spans="1:8">
      <c r="A104" s="38"/>
      <c r="B104" s="39"/>
      <c r="C104" s="39"/>
      <c r="D104" s="53" t="s">
        <v>258</v>
      </c>
      <c r="E104" s="91"/>
      <c r="F104" s="42"/>
      <c r="G104" s="78"/>
      <c r="H104" s="44"/>
    </row>
    <row r="105" spans="1:8">
      <c r="A105" s="38"/>
      <c r="B105" s="39"/>
      <c r="C105" s="39"/>
      <c r="D105" s="53" t="s">
        <v>259</v>
      </c>
      <c r="E105" s="91"/>
      <c r="F105" s="42"/>
      <c r="G105" s="78"/>
      <c r="H105" s="44"/>
    </row>
    <row r="106" spans="1:8">
      <c r="A106" s="38"/>
      <c r="B106" s="39"/>
      <c r="C106" s="39"/>
      <c r="D106" s="53" t="s">
        <v>260</v>
      </c>
      <c r="E106" s="91"/>
      <c r="F106" s="42"/>
      <c r="G106" s="78"/>
      <c r="H106" s="44"/>
    </row>
    <row r="107" spans="1:8" ht="25.5">
      <c r="A107" s="38"/>
      <c r="B107" s="39"/>
      <c r="C107" s="39"/>
      <c r="D107" s="53" t="s">
        <v>254</v>
      </c>
      <c r="E107" s="91"/>
      <c r="F107" s="42"/>
      <c r="G107" s="78"/>
      <c r="H107" s="44"/>
    </row>
    <row r="108" spans="1:8">
      <c r="A108" s="38"/>
      <c r="B108" s="39"/>
      <c r="C108" s="39"/>
      <c r="D108" s="53" t="s">
        <v>261</v>
      </c>
      <c r="E108" s="91"/>
      <c r="F108" s="42"/>
      <c r="G108" s="78"/>
      <c r="H108" s="44"/>
    </row>
    <row r="109" spans="1:8" ht="51">
      <c r="A109" s="38"/>
      <c r="B109" s="39"/>
      <c r="C109" s="39"/>
      <c r="D109" s="53" t="s">
        <v>255</v>
      </c>
      <c r="E109" s="91"/>
      <c r="F109" s="42"/>
      <c r="G109" s="78"/>
      <c r="H109" s="44"/>
    </row>
    <row r="110" spans="1:8">
      <c r="A110" s="38"/>
      <c r="B110" s="39"/>
      <c r="C110" s="39"/>
      <c r="D110" s="53" t="s">
        <v>262</v>
      </c>
      <c r="E110" s="91"/>
      <c r="F110" s="42"/>
      <c r="G110" s="78"/>
      <c r="H110" s="44"/>
    </row>
    <row r="111" spans="1:8">
      <c r="A111" s="38"/>
      <c r="B111" s="39"/>
      <c r="C111" s="39"/>
      <c r="D111" s="53" t="s">
        <v>263</v>
      </c>
      <c r="E111" s="91"/>
      <c r="F111" s="42"/>
      <c r="G111" s="78"/>
      <c r="H111" s="44"/>
    </row>
    <row r="112" spans="1:8">
      <c r="A112" s="38"/>
      <c r="B112" s="39"/>
      <c r="C112" s="39"/>
      <c r="D112" s="53" t="s">
        <v>264</v>
      </c>
      <c r="E112" s="91"/>
      <c r="F112" s="42"/>
      <c r="G112" s="78"/>
      <c r="H112" s="44"/>
    </row>
    <row r="113" spans="1:8">
      <c r="A113" s="38"/>
      <c r="B113" s="39"/>
      <c r="C113" s="39"/>
      <c r="D113" s="53" t="s">
        <v>265</v>
      </c>
      <c r="E113" s="91"/>
      <c r="F113" s="42"/>
      <c r="G113" s="78"/>
      <c r="H113" s="44"/>
    </row>
    <row r="114" spans="1:8">
      <c r="A114" s="24">
        <v>7</v>
      </c>
      <c r="B114" s="33" t="s">
        <v>138</v>
      </c>
      <c r="C114" s="75">
        <v>264239</v>
      </c>
      <c r="D114" s="76" t="s">
        <v>92</v>
      </c>
      <c r="E114" s="28" t="s">
        <v>93</v>
      </c>
      <c r="F114" s="29">
        <f>F115</f>
        <v>252</v>
      </c>
      <c r="G114" s="45"/>
      <c r="H114" s="31">
        <f>ROUND((G114*F114),2)</f>
        <v>0</v>
      </c>
    </row>
    <row r="115" spans="1:8">
      <c r="A115" s="38"/>
      <c r="B115" s="39"/>
      <c r="C115" s="39"/>
      <c r="D115" s="53" t="s">
        <v>182</v>
      </c>
      <c r="E115" s="77"/>
      <c r="F115" s="42">
        <f>4*63</f>
        <v>252</v>
      </c>
      <c r="G115" s="78"/>
      <c r="H115" s="44"/>
    </row>
    <row r="116" spans="1:8">
      <c r="A116" s="38"/>
      <c r="B116" s="39"/>
      <c r="C116" s="39"/>
      <c r="D116" s="53"/>
      <c r="E116" s="77"/>
      <c r="F116" s="42"/>
      <c r="G116" s="78"/>
      <c r="H116" s="44"/>
    </row>
    <row r="117" spans="1:8">
      <c r="A117" s="38"/>
      <c r="B117" s="39"/>
      <c r="C117" s="39"/>
      <c r="D117" s="53" t="s">
        <v>210</v>
      </c>
      <c r="E117" s="77"/>
      <c r="F117" s="42"/>
      <c r="G117" s="78"/>
      <c r="H117" s="44"/>
    </row>
    <row r="118" spans="1:8" ht="25.5">
      <c r="A118" s="38"/>
      <c r="B118" s="39"/>
      <c r="C118" s="39"/>
      <c r="D118" s="53" t="s">
        <v>266</v>
      </c>
      <c r="E118" s="77"/>
      <c r="F118" s="42"/>
      <c r="G118" s="78"/>
      <c r="H118" s="44"/>
    </row>
    <row r="119" spans="1:8">
      <c r="A119" s="38"/>
      <c r="B119" s="39"/>
      <c r="C119" s="39"/>
      <c r="D119" s="53" t="s">
        <v>267</v>
      </c>
      <c r="E119" s="77"/>
      <c r="F119" s="42"/>
      <c r="G119" s="78"/>
      <c r="H119" s="44"/>
    </row>
    <row r="120" spans="1:8">
      <c r="A120" s="38"/>
      <c r="B120" s="39"/>
      <c r="C120" s="39"/>
      <c r="D120" s="53" t="s">
        <v>270</v>
      </c>
      <c r="E120" s="77"/>
      <c r="F120" s="42"/>
      <c r="G120" s="78"/>
      <c r="H120" s="44"/>
    </row>
    <row r="121" spans="1:8" ht="25.5">
      <c r="A121" s="38"/>
      <c r="B121" s="39"/>
      <c r="C121" s="39"/>
      <c r="D121" s="53" t="s">
        <v>268</v>
      </c>
      <c r="E121" s="77"/>
      <c r="F121" s="42"/>
      <c r="G121" s="78"/>
      <c r="H121" s="44"/>
    </row>
    <row r="122" spans="1:8" ht="25.5">
      <c r="A122" s="38"/>
      <c r="B122" s="39"/>
      <c r="C122" s="39"/>
      <c r="D122" s="53" t="s">
        <v>271</v>
      </c>
      <c r="E122" s="77"/>
      <c r="F122" s="42"/>
      <c r="G122" s="78"/>
      <c r="H122" s="44"/>
    </row>
    <row r="123" spans="1:8">
      <c r="A123" s="38"/>
      <c r="B123" s="39"/>
      <c r="C123" s="39"/>
      <c r="D123" s="53" t="s">
        <v>269</v>
      </c>
      <c r="E123" s="77"/>
      <c r="F123" s="42"/>
      <c r="G123" s="78"/>
      <c r="H123" s="44"/>
    </row>
    <row r="124" spans="1:8">
      <c r="A124" s="38"/>
      <c r="B124" s="39"/>
      <c r="C124" s="39"/>
      <c r="D124" s="53" t="s">
        <v>272</v>
      </c>
      <c r="E124" s="77"/>
      <c r="F124" s="42"/>
      <c r="G124" s="78"/>
      <c r="H124" s="44"/>
    </row>
    <row r="125" spans="1:8">
      <c r="A125" s="38"/>
      <c r="B125" s="39"/>
      <c r="C125" s="39"/>
      <c r="D125" s="53" t="s">
        <v>273</v>
      </c>
      <c r="E125" s="77"/>
      <c r="F125" s="42"/>
      <c r="G125" s="78"/>
      <c r="H125" s="44"/>
    </row>
    <row r="126" spans="1:8">
      <c r="A126" s="38"/>
      <c r="B126" s="39"/>
      <c r="C126" s="39"/>
      <c r="D126" s="53" t="s">
        <v>274</v>
      </c>
      <c r="E126" s="77"/>
      <c r="F126" s="42"/>
      <c r="G126" s="78"/>
      <c r="H126" s="44"/>
    </row>
    <row r="127" spans="1:8">
      <c r="A127" s="38"/>
      <c r="B127" s="39"/>
      <c r="C127" s="39"/>
      <c r="D127" s="53" t="s">
        <v>275</v>
      </c>
      <c r="E127" s="77"/>
      <c r="F127" s="42"/>
      <c r="G127" s="78"/>
      <c r="H127" s="44"/>
    </row>
    <row r="128" spans="1:8">
      <c r="A128" s="38"/>
      <c r="B128" s="39"/>
      <c r="C128" s="39"/>
      <c r="D128" s="53" t="s">
        <v>276</v>
      </c>
      <c r="E128" s="77"/>
      <c r="F128" s="42"/>
      <c r="G128" s="78"/>
      <c r="H128" s="44"/>
    </row>
    <row r="129" spans="1:8">
      <c r="A129" s="142"/>
      <c r="B129" s="143"/>
      <c r="C129" s="144" t="s">
        <v>95</v>
      </c>
      <c r="D129" s="145" t="s">
        <v>96</v>
      </c>
      <c r="E129" s="146"/>
      <c r="F129" s="147"/>
      <c r="G129" s="148"/>
      <c r="H129" s="149"/>
    </row>
    <row r="130" spans="1:8">
      <c r="A130" s="177">
        <v>8</v>
      </c>
      <c r="B130" s="170" t="s">
        <v>138</v>
      </c>
      <c r="C130" s="178">
        <v>33794</v>
      </c>
      <c r="D130" s="179" t="s">
        <v>97</v>
      </c>
      <c r="E130" s="178" t="s">
        <v>43</v>
      </c>
      <c r="F130" s="180">
        <f>F131</f>
        <v>10.19844</v>
      </c>
      <c r="G130" s="175"/>
      <c r="H130" s="176">
        <f>ROUND((G130*F130),2)</f>
        <v>0</v>
      </c>
    </row>
    <row r="131" spans="1:8">
      <c r="A131" s="62"/>
      <c r="B131" s="63"/>
      <c r="C131" s="63"/>
      <c r="D131" s="53" t="s">
        <v>183</v>
      </c>
      <c r="E131" s="77"/>
      <c r="F131" s="117">
        <f>3.8*42.6*0.001*63</f>
        <v>10.19844</v>
      </c>
      <c r="G131" s="66"/>
      <c r="H131" s="67"/>
    </row>
    <row r="132" spans="1:8">
      <c r="A132" s="62"/>
      <c r="B132" s="63"/>
      <c r="C132" s="63"/>
      <c r="D132" s="53"/>
      <c r="E132" s="77"/>
      <c r="F132" s="117"/>
      <c r="G132" s="66"/>
      <c r="H132" s="67"/>
    </row>
    <row r="133" spans="1:8">
      <c r="A133" s="62"/>
      <c r="B133" s="63"/>
      <c r="C133" s="63"/>
      <c r="D133" s="53" t="s">
        <v>210</v>
      </c>
      <c r="E133" s="77"/>
      <c r="F133" s="117"/>
      <c r="G133" s="66"/>
      <c r="H133" s="67"/>
    </row>
    <row r="134" spans="1:8" ht="25.5">
      <c r="A134" s="62"/>
      <c r="B134" s="63"/>
      <c r="C134" s="63"/>
      <c r="D134" s="53" t="s">
        <v>277</v>
      </c>
      <c r="E134" s="77"/>
      <c r="F134" s="117"/>
      <c r="G134" s="66"/>
      <c r="H134" s="67"/>
    </row>
    <row r="135" spans="1:8" ht="38.25">
      <c r="A135" s="62"/>
      <c r="B135" s="63"/>
      <c r="C135" s="63"/>
      <c r="D135" s="53" t="s">
        <v>278</v>
      </c>
      <c r="E135" s="77"/>
      <c r="F135" s="117"/>
      <c r="G135" s="66"/>
      <c r="H135" s="67"/>
    </row>
    <row r="136" spans="1:8">
      <c r="A136" s="62"/>
      <c r="B136" s="63"/>
      <c r="C136" s="63"/>
      <c r="D136" s="53" t="s">
        <v>279</v>
      </c>
      <c r="E136" s="77"/>
      <c r="F136" s="117"/>
      <c r="G136" s="66"/>
      <c r="H136" s="67"/>
    </row>
    <row r="137" spans="1:8" ht="25.5">
      <c r="A137" s="62"/>
      <c r="B137" s="63"/>
      <c r="C137" s="63"/>
      <c r="D137" s="53" t="s">
        <v>280</v>
      </c>
      <c r="E137" s="77"/>
      <c r="F137" s="117"/>
      <c r="G137" s="66"/>
      <c r="H137" s="67"/>
    </row>
    <row r="138" spans="1:8" ht="38.25">
      <c r="A138" s="62"/>
      <c r="B138" s="63"/>
      <c r="C138" s="63"/>
      <c r="D138" s="53" t="s">
        <v>281</v>
      </c>
      <c r="E138" s="77"/>
      <c r="F138" s="117"/>
      <c r="G138" s="66"/>
      <c r="H138" s="67"/>
    </row>
    <row r="139" spans="1:8" ht="25.5">
      <c r="A139" s="62"/>
      <c r="B139" s="63"/>
      <c r="C139" s="63"/>
      <c r="D139" s="53" t="s">
        <v>282</v>
      </c>
      <c r="E139" s="77"/>
      <c r="F139" s="117"/>
      <c r="G139" s="66"/>
      <c r="H139" s="67"/>
    </row>
    <row r="140" spans="1:8">
      <c r="A140" s="62"/>
      <c r="B140" s="63"/>
      <c r="C140" s="63"/>
      <c r="D140" s="53" t="s">
        <v>283</v>
      </c>
      <c r="E140" s="77"/>
      <c r="F140" s="117"/>
      <c r="G140" s="66"/>
      <c r="H140" s="67"/>
    </row>
    <row r="141" spans="1:8">
      <c r="A141" s="62"/>
      <c r="B141" s="63"/>
      <c r="C141" s="63"/>
      <c r="D141" s="53" t="s">
        <v>284</v>
      </c>
      <c r="E141" s="77"/>
      <c r="F141" s="117"/>
      <c r="G141" s="66"/>
      <c r="H141" s="67"/>
    </row>
    <row r="142" spans="1:8" ht="25.5">
      <c r="A142" s="62"/>
      <c r="B142" s="63"/>
      <c r="C142" s="63"/>
      <c r="D142" s="53" t="s">
        <v>285</v>
      </c>
      <c r="E142" s="77"/>
      <c r="F142" s="117"/>
      <c r="G142" s="66"/>
      <c r="H142" s="67"/>
    </row>
    <row r="143" spans="1:8" ht="25.5">
      <c r="A143" s="62"/>
      <c r="B143" s="63"/>
      <c r="C143" s="63"/>
      <c r="D143" s="53" t="s">
        <v>286</v>
      </c>
      <c r="E143" s="77"/>
      <c r="F143" s="117"/>
      <c r="G143" s="66"/>
      <c r="H143" s="67"/>
    </row>
    <row r="144" spans="1:8" ht="25.5">
      <c r="A144" s="62"/>
      <c r="B144" s="63"/>
      <c r="C144" s="63"/>
      <c r="D144" s="53" t="s">
        <v>287</v>
      </c>
      <c r="E144" s="77"/>
      <c r="F144" s="117"/>
      <c r="G144" s="66"/>
      <c r="H144" s="67"/>
    </row>
    <row r="145" spans="1:8" ht="25.5">
      <c r="A145" s="62"/>
      <c r="B145" s="63"/>
      <c r="C145" s="63"/>
      <c r="D145" s="53" t="s">
        <v>288</v>
      </c>
      <c r="E145" s="77"/>
      <c r="F145" s="117"/>
      <c r="G145" s="66"/>
      <c r="H145" s="67"/>
    </row>
    <row r="146" spans="1:8">
      <c r="A146" s="62"/>
      <c r="B146" s="63"/>
      <c r="C146" s="63"/>
      <c r="D146" s="53" t="s">
        <v>289</v>
      </c>
      <c r="E146" s="77"/>
      <c r="F146" s="117"/>
      <c r="G146" s="66"/>
      <c r="H146" s="67"/>
    </row>
    <row r="147" spans="1:8">
      <c r="A147" s="62"/>
      <c r="B147" s="63"/>
      <c r="C147" s="63"/>
      <c r="D147" s="53" t="s">
        <v>290</v>
      </c>
      <c r="E147" s="77"/>
      <c r="F147" s="117"/>
      <c r="G147" s="66"/>
      <c r="H147" s="67"/>
    </row>
    <row r="148" spans="1:8">
      <c r="A148" s="62"/>
      <c r="B148" s="63"/>
      <c r="C148" s="63"/>
      <c r="D148" s="53" t="s">
        <v>291</v>
      </c>
      <c r="E148" s="77"/>
      <c r="F148" s="117"/>
      <c r="G148" s="66"/>
      <c r="H148" s="67"/>
    </row>
    <row r="149" spans="1:8">
      <c r="A149" s="62"/>
      <c r="B149" s="63"/>
      <c r="C149" s="63"/>
      <c r="D149" s="53" t="s">
        <v>292</v>
      </c>
      <c r="E149" s="77"/>
      <c r="F149" s="117"/>
      <c r="G149" s="66"/>
      <c r="H149" s="67"/>
    </row>
    <row r="150" spans="1:8">
      <c r="A150" s="177">
        <v>9</v>
      </c>
      <c r="B150" s="170" t="s">
        <v>138</v>
      </c>
      <c r="C150" s="178">
        <v>34712</v>
      </c>
      <c r="D150" s="179" t="s">
        <v>100</v>
      </c>
      <c r="E150" s="178" t="s">
        <v>77</v>
      </c>
      <c r="F150" s="180">
        <f>F152</f>
        <v>60.75</v>
      </c>
      <c r="G150" s="175"/>
      <c r="H150" s="176">
        <f>ROUND((G150*F150),2)</f>
        <v>0</v>
      </c>
    </row>
    <row r="151" spans="1:8">
      <c r="A151" s="62"/>
      <c r="B151" s="63"/>
      <c r="C151" s="63"/>
      <c r="D151" s="53" t="s">
        <v>101</v>
      </c>
      <c r="E151" s="63"/>
      <c r="F151" s="65"/>
      <c r="G151" s="66"/>
      <c r="H151" s="67"/>
    </row>
    <row r="152" spans="1:8">
      <c r="A152" s="62"/>
      <c r="B152" s="63"/>
      <c r="C152" s="63"/>
      <c r="D152" s="53" t="s">
        <v>184</v>
      </c>
      <c r="E152" s="98"/>
      <c r="F152" s="68">
        <f>486*0.25*0.5</f>
        <v>60.75</v>
      </c>
      <c r="G152" s="66"/>
      <c r="H152" s="67"/>
    </row>
    <row r="153" spans="1:8">
      <c r="A153" s="62"/>
      <c r="B153" s="63"/>
      <c r="C153" s="63"/>
      <c r="D153" s="53"/>
      <c r="E153" s="98"/>
      <c r="F153" s="68"/>
      <c r="G153" s="66"/>
      <c r="H153" s="67"/>
    </row>
    <row r="154" spans="1:8">
      <c r="A154" s="62"/>
      <c r="B154" s="63"/>
      <c r="C154" s="63"/>
      <c r="D154" s="53" t="s">
        <v>210</v>
      </c>
      <c r="E154" s="98"/>
      <c r="F154" s="68"/>
      <c r="G154" s="66"/>
      <c r="H154" s="67"/>
    </row>
    <row r="155" spans="1:8" ht="38.25">
      <c r="A155" s="62"/>
      <c r="B155" s="63"/>
      <c r="C155" s="63"/>
      <c r="D155" s="53" t="s">
        <v>293</v>
      </c>
      <c r="E155" s="98"/>
      <c r="F155" s="68"/>
      <c r="G155" s="66"/>
      <c r="H155" s="67"/>
    </row>
    <row r="156" spans="1:8" ht="25.5">
      <c r="A156" s="62"/>
      <c r="B156" s="63"/>
      <c r="C156" s="63"/>
      <c r="D156" s="53" t="s">
        <v>294</v>
      </c>
      <c r="E156" s="98"/>
      <c r="F156" s="68"/>
      <c r="G156" s="66"/>
      <c r="H156" s="67"/>
    </row>
    <row r="157" spans="1:8">
      <c r="A157" s="62"/>
      <c r="B157" s="63"/>
      <c r="C157" s="63"/>
      <c r="D157" s="53" t="s">
        <v>295</v>
      </c>
      <c r="E157" s="98"/>
      <c r="F157" s="68"/>
      <c r="G157" s="66"/>
      <c r="H157" s="67"/>
    </row>
    <row r="158" spans="1:8" ht="25.5">
      <c r="A158" s="62"/>
      <c r="B158" s="63"/>
      <c r="C158" s="63"/>
      <c r="D158" s="53" t="s">
        <v>296</v>
      </c>
      <c r="E158" s="98"/>
      <c r="F158" s="68"/>
      <c r="G158" s="66"/>
      <c r="H158" s="67"/>
    </row>
    <row r="159" spans="1:8" ht="25.5">
      <c r="A159" s="62"/>
      <c r="B159" s="63"/>
      <c r="C159" s="63"/>
      <c r="D159" s="53" t="s">
        <v>297</v>
      </c>
      <c r="E159" s="98"/>
      <c r="F159" s="68"/>
      <c r="G159" s="66"/>
      <c r="H159" s="67"/>
    </row>
    <row r="160" spans="1:8">
      <c r="A160" s="62"/>
      <c r="B160" s="63"/>
      <c r="C160" s="63"/>
      <c r="D160" s="53" t="s">
        <v>298</v>
      </c>
      <c r="E160" s="98"/>
      <c r="F160" s="68"/>
      <c r="G160" s="66"/>
      <c r="H160" s="67"/>
    </row>
    <row r="161" spans="1:8">
      <c r="A161" s="62"/>
      <c r="B161" s="63"/>
      <c r="C161" s="63"/>
      <c r="D161" s="53" t="s">
        <v>299</v>
      </c>
      <c r="E161" s="98"/>
      <c r="F161" s="68"/>
      <c r="G161" s="66"/>
      <c r="H161" s="67"/>
    </row>
    <row r="162" spans="1:8">
      <c r="A162" s="62"/>
      <c r="B162" s="63"/>
      <c r="C162" s="63"/>
      <c r="D162" s="53" t="s">
        <v>300</v>
      </c>
      <c r="E162" s="98"/>
      <c r="F162" s="68"/>
      <c r="G162" s="66"/>
      <c r="H162" s="67"/>
    </row>
    <row r="163" spans="1:8">
      <c r="A163" s="62"/>
      <c r="B163" s="63"/>
      <c r="C163" s="63"/>
      <c r="D163" s="53" t="s">
        <v>301</v>
      </c>
      <c r="E163" s="98"/>
      <c r="F163" s="68"/>
      <c r="G163" s="66"/>
      <c r="H163" s="67"/>
    </row>
    <row r="164" spans="1:8" ht="25.5">
      <c r="A164" s="62"/>
      <c r="B164" s="63"/>
      <c r="C164" s="63"/>
      <c r="D164" s="53" t="s">
        <v>302</v>
      </c>
      <c r="E164" s="98"/>
      <c r="F164" s="68"/>
      <c r="G164" s="66"/>
      <c r="H164" s="67"/>
    </row>
    <row r="165" spans="1:8">
      <c r="A165" s="62"/>
      <c r="B165" s="63"/>
      <c r="C165" s="63"/>
      <c r="D165" s="53" t="s">
        <v>303</v>
      </c>
      <c r="E165" s="98"/>
      <c r="F165" s="68"/>
      <c r="G165" s="66"/>
      <c r="H165" s="67"/>
    </row>
    <row r="166" spans="1:8" ht="38.25">
      <c r="A166" s="62"/>
      <c r="B166" s="63"/>
      <c r="C166" s="63"/>
      <c r="D166" s="53" t="s">
        <v>304</v>
      </c>
      <c r="E166" s="98"/>
      <c r="F166" s="68"/>
      <c r="G166" s="66"/>
      <c r="H166" s="67"/>
    </row>
    <row r="167" spans="1:8" ht="25.5">
      <c r="A167" s="177">
        <v>10</v>
      </c>
      <c r="B167" s="181"/>
      <c r="C167" s="178" t="s">
        <v>161</v>
      </c>
      <c r="D167" s="179" t="s">
        <v>162</v>
      </c>
      <c r="E167" s="178" t="s">
        <v>77</v>
      </c>
      <c r="F167" s="180">
        <f>F168</f>
        <v>60.75</v>
      </c>
      <c r="G167" s="175"/>
      <c r="H167" s="176">
        <f>ROUND((G167*F167),2)</f>
        <v>0</v>
      </c>
    </row>
    <row r="168" spans="1:8">
      <c r="A168" s="62"/>
      <c r="B168" s="63"/>
      <c r="C168" s="63"/>
      <c r="D168" s="48" t="s">
        <v>184</v>
      </c>
      <c r="E168" s="98"/>
      <c r="F168" s="68">
        <f>486*0.5*0.25</f>
        <v>60.75</v>
      </c>
      <c r="G168" s="66"/>
      <c r="H168" s="67"/>
    </row>
    <row r="169" spans="1:8">
      <c r="A169" s="177">
        <v>11</v>
      </c>
      <c r="B169" s="181"/>
      <c r="C169" s="178" t="s">
        <v>103</v>
      </c>
      <c r="D169" s="179" t="s">
        <v>104</v>
      </c>
      <c r="E169" s="178" t="s">
        <v>77</v>
      </c>
      <c r="F169" s="180">
        <f>F171</f>
        <v>1215</v>
      </c>
      <c r="G169" s="175"/>
      <c r="H169" s="176">
        <f>ROUND((G169*F169),2)</f>
        <v>0</v>
      </c>
    </row>
    <row r="170" spans="1:8" ht="25.5">
      <c r="A170" s="62"/>
      <c r="B170" s="63"/>
      <c r="C170" s="63"/>
      <c r="D170" s="53" t="s">
        <v>105</v>
      </c>
      <c r="E170" s="63"/>
      <c r="F170" s="65"/>
      <c r="G170" s="66"/>
      <c r="H170" s="67"/>
    </row>
    <row r="171" spans="1:8">
      <c r="A171" s="99"/>
      <c r="B171" s="78"/>
      <c r="C171" s="78"/>
      <c r="D171" s="53" t="s">
        <v>185</v>
      </c>
      <c r="E171" s="98"/>
      <c r="F171" s="68">
        <f>486*2.5</f>
        <v>1215</v>
      </c>
      <c r="G171" s="78"/>
      <c r="H171" s="100"/>
    </row>
    <row r="172" spans="1:8">
      <c r="A172" s="153"/>
      <c r="B172" s="154"/>
      <c r="C172" s="144" t="s">
        <v>112</v>
      </c>
      <c r="D172" s="145" t="s">
        <v>113</v>
      </c>
      <c r="E172" s="155"/>
      <c r="F172" s="156"/>
      <c r="G172" s="157"/>
      <c r="H172" s="158"/>
    </row>
    <row r="173" spans="1:8">
      <c r="A173" s="177">
        <v>12</v>
      </c>
      <c r="B173" s="181"/>
      <c r="C173" s="178" t="s">
        <v>114</v>
      </c>
      <c r="D173" s="179" t="s">
        <v>115</v>
      </c>
      <c r="E173" s="178" t="s">
        <v>55</v>
      </c>
      <c r="F173" s="180">
        <f>F175</f>
        <v>625</v>
      </c>
      <c r="G173" s="175"/>
      <c r="H173" s="176">
        <f>ROUND((G173*F173),2)</f>
        <v>0</v>
      </c>
    </row>
    <row r="174" spans="1:8">
      <c r="A174" s="62"/>
      <c r="B174" s="63"/>
      <c r="C174" s="63"/>
      <c r="D174" s="53" t="s">
        <v>116</v>
      </c>
      <c r="E174" s="63"/>
      <c r="F174" s="103"/>
      <c r="G174" s="66"/>
      <c r="H174" s="67"/>
    </row>
    <row r="175" spans="1:8">
      <c r="A175" s="62"/>
      <c r="B175" s="63"/>
      <c r="C175" s="63"/>
      <c r="D175" s="53" t="s">
        <v>186</v>
      </c>
      <c r="E175" s="63"/>
      <c r="F175" s="68">
        <f>125*5</f>
        <v>625</v>
      </c>
      <c r="G175" s="66"/>
      <c r="H175" s="67"/>
    </row>
    <row r="176" spans="1:8">
      <c r="A176" s="177">
        <v>13</v>
      </c>
      <c r="B176" s="181"/>
      <c r="C176" s="178" t="s">
        <v>118</v>
      </c>
      <c r="D176" s="179" t="s">
        <v>119</v>
      </c>
      <c r="E176" s="178" t="s">
        <v>93</v>
      </c>
      <c r="F176" s="180">
        <f>F177</f>
        <v>534.6</v>
      </c>
      <c r="G176" s="175"/>
      <c r="H176" s="176">
        <f>ROUND((G176*F176),2)</f>
        <v>0</v>
      </c>
    </row>
    <row r="177" spans="1:8">
      <c r="A177" s="62"/>
      <c r="B177" s="63"/>
      <c r="C177" s="63"/>
      <c r="D177" s="53" t="s">
        <v>187</v>
      </c>
      <c r="E177" s="63"/>
      <c r="F177" s="68">
        <f>486*1.1</f>
        <v>534.6</v>
      </c>
      <c r="G177" s="66"/>
      <c r="H177" s="67"/>
    </row>
    <row r="178" spans="1:8">
      <c r="A178" s="54">
        <v>14</v>
      </c>
      <c r="B178" s="33" t="s">
        <v>138</v>
      </c>
      <c r="C178" s="57">
        <v>78312</v>
      </c>
      <c r="D178" s="56" t="s">
        <v>166</v>
      </c>
      <c r="E178" s="57" t="s">
        <v>77</v>
      </c>
      <c r="F178" s="58">
        <f>F180</f>
        <v>190.85219999999998</v>
      </c>
      <c r="G178" s="30"/>
      <c r="H178" s="31">
        <f>ROUND((G178*F178),2)</f>
        <v>0</v>
      </c>
    </row>
    <row r="179" spans="1:8">
      <c r="A179" s="38"/>
      <c r="B179" s="39"/>
      <c r="C179" s="39"/>
      <c r="D179" s="53" t="s">
        <v>188</v>
      </c>
      <c r="E179" s="49"/>
      <c r="F179" s="50"/>
      <c r="G179" s="78"/>
      <c r="H179" s="44"/>
    </row>
    <row r="180" spans="1:8">
      <c r="A180" s="38"/>
      <c r="B180" s="39"/>
      <c r="C180" s="39"/>
      <c r="D180" s="53" t="s">
        <v>189</v>
      </c>
      <c r="E180" s="49"/>
      <c r="F180" s="50">
        <f>126/2*3.3*0.918</f>
        <v>190.85219999999998</v>
      </c>
      <c r="G180" s="78"/>
      <c r="H180" s="44"/>
    </row>
    <row r="181" spans="1:8">
      <c r="A181" s="38"/>
      <c r="B181" s="39"/>
      <c r="C181" s="39"/>
      <c r="D181" s="53"/>
      <c r="E181" s="49"/>
      <c r="F181" s="50"/>
      <c r="G181" s="78"/>
      <c r="H181" s="44"/>
    </row>
    <row r="182" spans="1:8" ht="63.75">
      <c r="A182" s="38"/>
      <c r="B182" s="39"/>
      <c r="C182" s="39"/>
      <c r="D182" s="53" t="s">
        <v>307</v>
      </c>
      <c r="E182" s="49"/>
      <c r="F182" s="50"/>
      <c r="G182" s="78"/>
      <c r="H182" s="44"/>
    </row>
    <row r="183" spans="1:8">
      <c r="A183" s="142"/>
      <c r="B183" s="143"/>
      <c r="C183" s="144" t="s">
        <v>121</v>
      </c>
      <c r="D183" s="145" t="s">
        <v>122</v>
      </c>
      <c r="E183" s="146"/>
      <c r="F183" s="147"/>
      <c r="G183" s="148"/>
      <c r="H183" s="149"/>
    </row>
    <row r="184" spans="1:8">
      <c r="A184" s="177">
        <v>15</v>
      </c>
      <c r="B184" s="181"/>
      <c r="C184" s="178" t="s">
        <v>123</v>
      </c>
      <c r="D184" s="179" t="s">
        <v>124</v>
      </c>
      <c r="E184" s="178" t="s">
        <v>55</v>
      </c>
      <c r="F184" s="180">
        <v>1</v>
      </c>
      <c r="G184" s="175"/>
      <c r="H184" s="176">
        <f>ROUND((G184*F184),2)</f>
        <v>0</v>
      </c>
    </row>
    <row r="185" spans="1:8">
      <c r="A185" s="101"/>
      <c r="B185" s="102"/>
      <c r="C185" s="102"/>
      <c r="D185" s="104"/>
      <c r="E185" s="59"/>
      <c r="F185" s="60"/>
      <c r="G185" s="43"/>
      <c r="H185" s="44"/>
    </row>
    <row r="186" spans="1:8" ht="25.5">
      <c r="A186" s="177">
        <v>16</v>
      </c>
      <c r="B186" s="170" t="s">
        <v>42</v>
      </c>
      <c r="C186" s="178">
        <v>931241</v>
      </c>
      <c r="D186" s="179" t="s">
        <v>125</v>
      </c>
      <c r="E186" s="178" t="s">
        <v>93</v>
      </c>
      <c r="F186" s="180">
        <f>F188</f>
        <v>48</v>
      </c>
      <c r="G186" s="175"/>
      <c r="H186" s="176">
        <f>ROUND((G186*F186),2)</f>
        <v>0</v>
      </c>
    </row>
    <row r="187" spans="1:8" ht="25.5">
      <c r="A187" s="62"/>
      <c r="B187" s="63"/>
      <c r="C187" s="63"/>
      <c r="D187" s="53" t="s">
        <v>126</v>
      </c>
      <c r="E187" s="63"/>
      <c r="F187" s="65"/>
      <c r="G187" s="66"/>
      <c r="H187" s="67"/>
    </row>
    <row r="188" spans="1:8">
      <c r="A188" s="62"/>
      <c r="B188" s="63"/>
      <c r="C188" s="63"/>
      <c r="D188" s="53" t="s">
        <v>190</v>
      </c>
      <c r="E188" s="63"/>
      <c r="F188" s="68">
        <f>8*2*3</f>
        <v>48</v>
      </c>
      <c r="G188" s="66"/>
      <c r="H188" s="67"/>
    </row>
    <row r="189" spans="1:8">
      <c r="A189" s="62"/>
      <c r="B189" s="63"/>
      <c r="C189" s="63"/>
      <c r="D189" s="53"/>
      <c r="E189" s="63"/>
      <c r="F189" s="68"/>
      <c r="G189" s="66"/>
      <c r="H189" s="67"/>
    </row>
    <row r="190" spans="1:8" ht="25.5">
      <c r="A190" s="62"/>
      <c r="B190" s="63"/>
      <c r="C190" s="63"/>
      <c r="D190" s="53" t="s">
        <v>208</v>
      </c>
      <c r="E190" s="63"/>
      <c r="F190" s="68"/>
      <c r="G190" s="66"/>
      <c r="H190" s="67"/>
    </row>
    <row r="191" spans="1:8">
      <c r="A191" s="24">
        <v>17</v>
      </c>
      <c r="B191" s="33" t="s">
        <v>138</v>
      </c>
      <c r="C191" s="75">
        <v>96618</v>
      </c>
      <c r="D191" s="76" t="s">
        <v>206</v>
      </c>
      <c r="E191" s="28" t="s">
        <v>55</v>
      </c>
      <c r="F191" s="29">
        <f>F192</f>
        <v>63</v>
      </c>
      <c r="G191" s="30"/>
      <c r="H191" s="31">
        <f>F191*G191</f>
        <v>0</v>
      </c>
    </row>
    <row r="192" spans="1:8">
      <c r="A192" s="90"/>
      <c r="B192" s="91"/>
      <c r="C192" s="91"/>
      <c r="D192" s="53" t="s">
        <v>310</v>
      </c>
      <c r="E192" s="92"/>
      <c r="F192" s="116">
        <v>63</v>
      </c>
      <c r="G192" s="66"/>
      <c r="H192" s="67"/>
    </row>
    <row r="193" spans="1:8">
      <c r="A193" s="90"/>
      <c r="B193" s="91"/>
      <c r="C193" s="91"/>
      <c r="D193" s="53"/>
      <c r="E193" s="92"/>
      <c r="F193" s="116"/>
      <c r="G193" s="66"/>
      <c r="H193" s="67"/>
    </row>
    <row r="194" spans="1:8">
      <c r="A194" s="90"/>
      <c r="B194" s="91"/>
      <c r="C194" s="91"/>
      <c r="D194" s="53" t="s">
        <v>210</v>
      </c>
      <c r="E194" s="92"/>
      <c r="F194" s="116"/>
      <c r="G194" s="66"/>
      <c r="H194" s="67"/>
    </row>
    <row r="195" spans="1:8">
      <c r="A195" s="90"/>
      <c r="B195" s="91"/>
      <c r="C195" s="91"/>
      <c r="D195" s="53" t="s">
        <v>211</v>
      </c>
      <c r="E195" s="92"/>
      <c r="F195" s="116"/>
      <c r="G195" s="66"/>
      <c r="H195" s="67"/>
    </row>
    <row r="196" spans="1:8">
      <c r="A196" s="90"/>
      <c r="B196" s="91"/>
      <c r="C196" s="91"/>
      <c r="D196" s="53" t="s">
        <v>212</v>
      </c>
      <c r="E196" s="92"/>
      <c r="F196" s="116"/>
      <c r="G196" s="66"/>
      <c r="H196" s="67"/>
    </row>
    <row r="197" spans="1:8" ht="63.75">
      <c r="A197" s="90"/>
      <c r="B197" s="91"/>
      <c r="C197" s="91"/>
      <c r="D197" s="188" t="s">
        <v>311</v>
      </c>
      <c r="E197" s="92"/>
      <c r="F197" s="116"/>
      <c r="G197" s="66"/>
      <c r="H197" s="67"/>
    </row>
    <row r="198" spans="1:8" ht="25.5">
      <c r="A198" s="90"/>
      <c r="B198" s="91"/>
      <c r="C198" s="91"/>
      <c r="D198" s="53" t="s">
        <v>213</v>
      </c>
      <c r="E198" s="92"/>
      <c r="F198" s="116"/>
      <c r="G198" s="66"/>
      <c r="H198" s="67"/>
    </row>
    <row r="199" spans="1:8" ht="25.5">
      <c r="A199" s="24">
        <v>18</v>
      </c>
      <c r="B199" s="33" t="s">
        <v>138</v>
      </c>
      <c r="C199" s="75">
        <v>96662</v>
      </c>
      <c r="D199" s="76" t="s">
        <v>312</v>
      </c>
      <c r="E199" s="28" t="s">
        <v>77</v>
      </c>
      <c r="F199" s="29">
        <f>F200</f>
        <v>60.75</v>
      </c>
      <c r="G199" s="45"/>
      <c r="H199" s="31">
        <f>ROUND((G199*F199),2)</f>
        <v>0</v>
      </c>
    </row>
    <row r="200" spans="1:8">
      <c r="A200" s="38"/>
      <c r="B200" s="39"/>
      <c r="C200" s="39"/>
      <c r="D200" s="48" t="s">
        <v>192</v>
      </c>
      <c r="E200" s="49"/>
      <c r="F200" s="117">
        <f>486*0.25*0.5</f>
        <v>60.75</v>
      </c>
      <c r="G200" s="78"/>
      <c r="H200" s="44"/>
    </row>
    <row r="201" spans="1:8">
      <c r="A201" s="38"/>
      <c r="B201" s="39"/>
      <c r="C201" s="39"/>
      <c r="D201" s="48"/>
      <c r="E201" s="49"/>
      <c r="F201" s="117"/>
      <c r="G201" s="78"/>
      <c r="H201" s="44"/>
    </row>
    <row r="202" spans="1:8">
      <c r="A202" s="38"/>
      <c r="B202" s="39"/>
      <c r="C202" s="39"/>
      <c r="D202" s="53" t="s">
        <v>210</v>
      </c>
      <c r="E202" s="49"/>
      <c r="F202" s="117"/>
      <c r="G202" s="78"/>
      <c r="H202" s="44"/>
    </row>
    <row r="203" spans="1:8" ht="25.5">
      <c r="A203" s="38"/>
      <c r="B203" s="39"/>
      <c r="C203" s="39"/>
      <c r="D203" s="53" t="s">
        <v>214</v>
      </c>
      <c r="E203" s="49"/>
      <c r="F203" s="117"/>
      <c r="G203" s="78"/>
      <c r="H203" s="44"/>
    </row>
    <row r="204" spans="1:8" ht="25.5">
      <c r="A204" s="38"/>
      <c r="B204" s="39"/>
      <c r="C204" s="39"/>
      <c r="D204" s="53" t="s">
        <v>215</v>
      </c>
      <c r="E204" s="49"/>
      <c r="F204" s="117"/>
      <c r="G204" s="78"/>
      <c r="H204" s="44"/>
    </row>
    <row r="205" spans="1:8">
      <c r="A205" s="38"/>
      <c r="B205" s="39"/>
      <c r="C205" s="39"/>
      <c r="D205" s="53" t="s">
        <v>216</v>
      </c>
      <c r="E205" s="49"/>
      <c r="F205" s="117"/>
      <c r="G205" s="78"/>
      <c r="H205" s="44"/>
    </row>
    <row r="206" spans="1:8">
      <c r="A206" s="38"/>
      <c r="B206" s="39"/>
      <c r="C206" s="39"/>
      <c r="D206" s="190" t="s">
        <v>306</v>
      </c>
      <c r="E206" s="49"/>
      <c r="F206" s="117"/>
      <c r="G206" s="78"/>
      <c r="H206" s="44"/>
    </row>
    <row r="207" spans="1:8" ht="25.5">
      <c r="A207" s="24">
        <v>19</v>
      </c>
      <c r="B207" s="33" t="s">
        <v>138</v>
      </c>
      <c r="C207" s="75">
        <v>96664</v>
      </c>
      <c r="D207" s="189" t="s">
        <v>308</v>
      </c>
      <c r="E207" s="28" t="s">
        <v>77</v>
      </c>
      <c r="F207" s="125">
        <f>F208</f>
        <v>1215</v>
      </c>
      <c r="G207" s="45"/>
      <c r="H207" s="31">
        <f>ROUND((G207*F207),2)</f>
        <v>0</v>
      </c>
    </row>
    <row r="208" spans="1:8" ht="25.5">
      <c r="A208" s="90"/>
      <c r="B208" s="80"/>
      <c r="C208" s="91"/>
      <c r="D208" s="53" t="s">
        <v>196</v>
      </c>
      <c r="E208" s="98"/>
      <c r="F208" s="117">
        <f>486*2.5</f>
        <v>1215</v>
      </c>
      <c r="G208" s="83"/>
      <c r="H208" s="67"/>
    </row>
    <row r="209" spans="1:8">
      <c r="A209" s="90"/>
      <c r="B209" s="80"/>
      <c r="C209" s="91"/>
      <c r="D209" s="53"/>
      <c r="E209" s="98"/>
      <c r="F209" s="117"/>
      <c r="G209" s="83"/>
      <c r="H209" s="67"/>
    </row>
    <row r="210" spans="1:8">
      <c r="A210" s="90"/>
      <c r="B210" s="80"/>
      <c r="C210" s="91"/>
      <c r="D210" s="53" t="s">
        <v>210</v>
      </c>
      <c r="E210" s="98"/>
      <c r="F210" s="117"/>
      <c r="G210" s="83"/>
      <c r="H210" s="67"/>
    </row>
    <row r="211" spans="1:8" ht="25.5">
      <c r="A211" s="90"/>
      <c r="B211" s="80"/>
      <c r="C211" s="91"/>
      <c r="D211" s="53" t="s">
        <v>214</v>
      </c>
      <c r="E211" s="98"/>
      <c r="F211" s="117"/>
      <c r="G211" s="83"/>
      <c r="H211" s="67"/>
    </row>
    <row r="212" spans="1:8" ht="25.5">
      <c r="A212" s="90"/>
      <c r="B212" s="80"/>
      <c r="C212" s="91"/>
      <c r="D212" s="53" t="s">
        <v>215</v>
      </c>
      <c r="E212" s="98"/>
      <c r="F212" s="117"/>
      <c r="G212" s="83"/>
      <c r="H212" s="67"/>
    </row>
    <row r="213" spans="1:8">
      <c r="A213" s="90"/>
      <c r="B213" s="80"/>
      <c r="C213" s="91"/>
      <c r="D213" s="53" t="s">
        <v>216</v>
      </c>
      <c r="E213" s="98"/>
      <c r="F213" s="117"/>
      <c r="G213" s="83"/>
      <c r="H213" s="67"/>
    </row>
    <row r="214" spans="1:8" ht="13.5" thickBot="1">
      <c r="A214" s="191"/>
      <c r="B214" s="192"/>
      <c r="C214" s="193"/>
      <c r="D214" s="108" t="s">
        <v>306</v>
      </c>
      <c r="E214" s="120"/>
      <c r="F214" s="126"/>
      <c r="G214" s="194"/>
      <c r="H214" s="195"/>
    </row>
    <row r="215" spans="1:8">
      <c r="A215" s="110"/>
      <c r="B215" s="110"/>
      <c r="C215" s="110"/>
      <c r="D215" s="111"/>
      <c r="E215" s="112"/>
      <c r="F215" s="113"/>
      <c r="G215" s="114"/>
      <c r="H215" s="115"/>
    </row>
    <row r="216" spans="1:8" ht="16.5">
      <c r="A216" s="127"/>
      <c r="B216" s="127"/>
      <c r="C216" s="127"/>
      <c r="D216" s="128"/>
      <c r="E216" s="129"/>
      <c r="F216" s="130"/>
      <c r="G216" s="131"/>
      <c r="H216" s="131"/>
    </row>
  </sheetData>
  <mergeCells count="8">
    <mergeCell ref="G12:G14"/>
    <mergeCell ref="H12:H14"/>
    <mergeCell ref="A12:A14"/>
    <mergeCell ref="B12:B14"/>
    <mergeCell ref="C12:C14"/>
    <mergeCell ref="D12:D14"/>
    <mergeCell ref="E12:E14"/>
    <mergeCell ref="F12:F14"/>
  </mergeCells>
  <conditionalFormatting sqref="G151:G166">
    <cfRule type="cellIs" dxfId="26" priority="19" stopIfTrue="1" operator="lessThan">
      <formula>0</formula>
    </cfRule>
  </conditionalFormatting>
  <conditionalFormatting sqref="G168">
    <cfRule type="cellIs" dxfId="25" priority="18" stopIfTrue="1" operator="lessThan">
      <formula>0</formula>
    </cfRule>
  </conditionalFormatting>
  <conditionalFormatting sqref="G177">
    <cfRule type="cellIs" dxfId="24" priority="17" stopIfTrue="1" operator="lessThan">
      <formula>0</formula>
    </cfRule>
  </conditionalFormatting>
  <conditionalFormatting sqref="G174">
    <cfRule type="cellIs" dxfId="23" priority="16" stopIfTrue="1" operator="lessThan">
      <formula>0</formula>
    </cfRule>
  </conditionalFormatting>
  <conditionalFormatting sqref="G175">
    <cfRule type="cellIs" dxfId="22" priority="15" stopIfTrue="1" operator="lessThan">
      <formula>0</formula>
    </cfRule>
  </conditionalFormatting>
  <conditionalFormatting sqref="G184">
    <cfRule type="cellIs" dxfId="21" priority="13" stopIfTrue="1" operator="lessThan">
      <formula>0</formula>
    </cfRule>
  </conditionalFormatting>
  <conditionalFormatting sqref="G187:G190">
    <cfRule type="cellIs" dxfId="20" priority="14" stopIfTrue="1" operator="lessThan">
      <formula>0</formula>
    </cfRule>
  </conditionalFormatting>
  <conditionalFormatting sqref="G167">
    <cfRule type="cellIs" dxfId="19" priority="6" stopIfTrue="1" operator="lessThan">
      <formula>0</formula>
    </cfRule>
  </conditionalFormatting>
  <conditionalFormatting sqref="G173">
    <cfRule type="cellIs" dxfId="18" priority="5" stopIfTrue="1" operator="lessThan">
      <formula>0</formula>
    </cfRule>
  </conditionalFormatting>
  <conditionalFormatting sqref="G176">
    <cfRule type="cellIs" dxfId="17" priority="4" stopIfTrue="1" operator="lessThan">
      <formula>0</formula>
    </cfRule>
  </conditionalFormatting>
  <conditionalFormatting sqref="G178">
    <cfRule type="cellIs" dxfId="16" priority="3" stopIfTrue="1" operator="lessThan">
      <formula>0</formula>
    </cfRule>
  </conditionalFormatting>
  <conditionalFormatting sqref="G186">
    <cfRule type="cellIs" dxfId="15" priority="2" stopIfTrue="1" operator="lessThan">
      <formula>0</formula>
    </cfRule>
  </conditionalFormatting>
  <conditionalFormatting sqref="G150">
    <cfRule type="cellIs" dxfId="14" priority="1" stopIfTrue="1" operator="lessThan">
      <formula>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selection activeCell="B3" sqref="B3"/>
    </sheetView>
  </sheetViews>
  <sheetFormatPr defaultRowHeight="12.75"/>
  <cols>
    <col min="2" max="2" width="11.75" customWidth="1"/>
    <col min="4" max="4" width="69.625" customWidth="1"/>
    <col min="6" max="6" width="14.875" customWidth="1"/>
    <col min="7" max="7" width="11.875" customWidth="1"/>
    <col min="8" max="8" width="14.125" customWidth="1"/>
  </cols>
  <sheetData>
    <row r="1" spans="1:8" ht="15">
      <c r="A1" s="4" t="s">
        <v>8</v>
      </c>
    </row>
    <row r="3" spans="1:8">
      <c r="A3" t="s">
        <v>9</v>
      </c>
      <c r="B3" s="23" t="s">
        <v>378</v>
      </c>
    </row>
    <row r="4" spans="1:8">
      <c r="B4" s="23"/>
    </row>
    <row r="5" spans="1:8">
      <c r="A5" t="s">
        <v>10</v>
      </c>
      <c r="B5" s="23" t="s">
        <v>39</v>
      </c>
    </row>
    <row r="6" spans="1:8">
      <c r="B6" s="23"/>
    </row>
    <row r="7" spans="1:8">
      <c r="A7" t="s">
        <v>17</v>
      </c>
      <c r="B7" s="23" t="s">
        <v>199</v>
      </c>
    </row>
    <row r="8" spans="1:8">
      <c r="B8" s="23"/>
    </row>
    <row r="9" spans="1:8">
      <c r="A9" t="s">
        <v>11</v>
      </c>
      <c r="B9" s="23" t="s">
        <v>34</v>
      </c>
      <c r="F9" t="s">
        <v>19</v>
      </c>
      <c r="G9" s="2">
        <f>Rekapitulace!I7</f>
        <v>44446</v>
      </c>
    </row>
    <row r="11" spans="1:8" ht="13.5" thickBot="1">
      <c r="G11" s="186" t="s">
        <v>137</v>
      </c>
      <c r="H11" s="187">
        <f>SUM(H15:H168)</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c r="A15" s="218"/>
      <c r="B15" s="219"/>
      <c r="C15" s="220" t="s">
        <v>40</v>
      </c>
      <c r="D15" s="221" t="s">
        <v>41</v>
      </c>
      <c r="E15" s="222"/>
      <c r="F15" s="223"/>
      <c r="G15" s="224"/>
      <c r="H15" s="225"/>
    </row>
    <row r="16" spans="1:8" ht="25.5">
      <c r="A16" s="32">
        <v>1</v>
      </c>
      <c r="B16" s="33" t="s">
        <v>138</v>
      </c>
      <c r="C16" s="34">
        <v>15111</v>
      </c>
      <c r="D16" s="35" t="s">
        <v>139</v>
      </c>
      <c r="E16" s="36" t="s">
        <v>43</v>
      </c>
      <c r="F16" s="37">
        <f>F20</f>
        <v>630.20254327499993</v>
      </c>
      <c r="G16" s="45"/>
      <c r="H16" s="31">
        <f>ROUND((G16*F16),2)</f>
        <v>0</v>
      </c>
    </row>
    <row r="17" spans="1:8">
      <c r="A17" s="38"/>
      <c r="B17" s="39"/>
      <c r="C17" s="39"/>
      <c r="D17" s="40" t="s">
        <v>148</v>
      </c>
      <c r="E17" s="41"/>
      <c r="F17" s="132">
        <f>(3.142*0.63/2*0.63/2*4.2*189*1.25-37.412)*1.5</f>
        <v>407.90515745624998</v>
      </c>
      <c r="G17" s="43"/>
      <c r="H17" s="44"/>
    </row>
    <row r="18" spans="1:8">
      <c r="A18" s="38"/>
      <c r="B18" s="39"/>
      <c r="C18" s="39"/>
      <c r="D18" s="53" t="s">
        <v>149</v>
      </c>
      <c r="E18" s="41"/>
      <c r="F18" s="132">
        <f>57.553*1.5</f>
        <v>86.329499999999996</v>
      </c>
      <c r="G18" s="43"/>
      <c r="H18" s="44"/>
    </row>
    <row r="19" spans="1:8">
      <c r="A19" s="38"/>
      <c r="B19" s="39"/>
      <c r="C19" s="39"/>
      <c r="D19" s="53" t="s">
        <v>150</v>
      </c>
      <c r="E19" s="41"/>
      <c r="F19" s="132">
        <f>(3.142*0.63/2*0.63/2*4.2*63*1.25-12.471)*1.5</f>
        <v>135.96788581874998</v>
      </c>
      <c r="G19" s="43"/>
      <c r="H19" s="44"/>
    </row>
    <row r="20" spans="1:8">
      <c r="A20" s="38"/>
      <c r="B20" s="39"/>
      <c r="C20" s="39"/>
      <c r="D20" s="135" t="s">
        <v>137</v>
      </c>
      <c r="E20" s="136"/>
      <c r="F20" s="137">
        <f>SUM(F17:F19)</f>
        <v>630.20254327499993</v>
      </c>
      <c r="G20" s="43"/>
      <c r="H20" s="44"/>
    </row>
    <row r="21" spans="1:8">
      <c r="A21" s="38"/>
      <c r="B21" s="39"/>
      <c r="C21" s="39"/>
      <c r="D21" s="135"/>
      <c r="E21" s="136"/>
      <c r="F21" s="137"/>
      <c r="G21" s="43"/>
      <c r="H21" s="44"/>
    </row>
    <row r="22" spans="1:8">
      <c r="A22" s="38"/>
      <c r="B22" s="39"/>
      <c r="C22" s="39"/>
      <c r="D22" s="48" t="s">
        <v>350</v>
      </c>
      <c r="E22" s="136"/>
      <c r="F22" s="137"/>
      <c r="G22" s="43"/>
      <c r="H22" s="44"/>
    </row>
    <row r="23" spans="1:8" ht="38.25">
      <c r="A23" s="38"/>
      <c r="B23" s="39"/>
      <c r="C23" s="39"/>
      <c r="D23" s="48" t="s">
        <v>351</v>
      </c>
      <c r="E23" s="136"/>
      <c r="F23" s="137"/>
      <c r="G23" s="43"/>
      <c r="H23" s="44"/>
    </row>
    <row r="24" spans="1:8">
      <c r="A24" s="38"/>
      <c r="B24" s="39"/>
      <c r="C24" s="39"/>
      <c r="D24" s="48" t="s">
        <v>352</v>
      </c>
      <c r="E24" s="136"/>
      <c r="F24" s="137"/>
      <c r="G24" s="43"/>
      <c r="H24" s="44"/>
    </row>
    <row r="25" spans="1:8" ht="25.5">
      <c r="A25" s="38"/>
      <c r="B25" s="39"/>
      <c r="C25" s="39"/>
      <c r="D25" s="48" t="s">
        <v>353</v>
      </c>
      <c r="E25" s="136"/>
      <c r="F25" s="137"/>
      <c r="G25" s="43"/>
      <c r="H25" s="44"/>
    </row>
    <row r="26" spans="1:8">
      <c r="A26" s="38"/>
      <c r="B26" s="39"/>
      <c r="C26" s="39"/>
      <c r="D26" s="48" t="s">
        <v>354</v>
      </c>
      <c r="E26" s="136"/>
      <c r="F26" s="137"/>
      <c r="G26" s="43"/>
      <c r="H26" s="44"/>
    </row>
    <row r="27" spans="1:8" ht="25.5">
      <c r="A27" s="38"/>
      <c r="B27" s="39"/>
      <c r="C27" s="39"/>
      <c r="D27" s="48" t="s">
        <v>355</v>
      </c>
      <c r="E27" s="136"/>
      <c r="F27" s="137"/>
      <c r="G27" s="43"/>
      <c r="H27" s="44"/>
    </row>
    <row r="28" spans="1:8">
      <c r="A28" s="32">
        <v>2</v>
      </c>
      <c r="B28" s="33"/>
      <c r="C28" s="34" t="s">
        <v>349</v>
      </c>
      <c r="D28" s="35" t="s">
        <v>147</v>
      </c>
      <c r="E28" s="36" t="s">
        <v>43</v>
      </c>
      <c r="F28" s="37">
        <f>F33</f>
        <v>958.50000000000011</v>
      </c>
      <c r="G28" s="45"/>
      <c r="H28" s="31">
        <f>ROUND((G28*F28),2)</f>
        <v>0</v>
      </c>
    </row>
    <row r="29" spans="1:8">
      <c r="A29" s="79"/>
      <c r="B29" s="80"/>
      <c r="C29" s="80"/>
      <c r="D29" s="118" t="s">
        <v>140</v>
      </c>
      <c r="E29" s="81"/>
      <c r="F29" s="82"/>
      <c r="G29" s="83"/>
      <c r="H29" s="67"/>
    </row>
    <row r="30" spans="1:8" ht="25.5">
      <c r="A30" s="46"/>
      <c r="B30" s="47"/>
      <c r="C30" s="47"/>
      <c r="D30" s="48" t="s">
        <v>48</v>
      </c>
      <c r="E30" s="49"/>
      <c r="F30" s="133">
        <f>730*2.4*0.18*2.5</f>
        <v>788.40000000000009</v>
      </c>
      <c r="G30" s="51"/>
      <c r="H30" s="52"/>
    </row>
    <row r="31" spans="1:8">
      <c r="A31" s="210"/>
      <c r="B31" s="211"/>
      <c r="C31" s="211"/>
      <c r="D31" s="119" t="s">
        <v>144</v>
      </c>
      <c r="E31" s="211"/>
      <c r="F31" s="216"/>
      <c r="G31" s="211"/>
      <c r="H31" s="212"/>
    </row>
    <row r="32" spans="1:8" ht="25.5">
      <c r="A32" s="210"/>
      <c r="B32" s="211"/>
      <c r="C32" s="211"/>
      <c r="D32" s="48" t="s">
        <v>174</v>
      </c>
      <c r="E32" s="49"/>
      <c r="F32" s="117">
        <f>486*2.5*0.2*0.7</f>
        <v>170.1</v>
      </c>
      <c r="G32" s="211"/>
      <c r="H32" s="212"/>
    </row>
    <row r="33" spans="1:8" ht="13.5" thickBot="1">
      <c r="A33" s="213"/>
      <c r="B33" s="214"/>
      <c r="C33" s="214"/>
      <c r="D33" s="226" t="s">
        <v>137</v>
      </c>
      <c r="E33" s="227"/>
      <c r="F33" s="160">
        <f>SUM(F30:F32)</f>
        <v>958.50000000000011</v>
      </c>
      <c r="G33" s="214"/>
      <c r="H33" s="215"/>
    </row>
  </sheetData>
  <mergeCells count="8">
    <mergeCell ref="G12:G14"/>
    <mergeCell ref="H12:H14"/>
    <mergeCell ref="A12:A14"/>
    <mergeCell ref="B12:B14"/>
    <mergeCell ref="C12:C14"/>
    <mergeCell ref="D12:D14"/>
    <mergeCell ref="E12:E14"/>
    <mergeCell ref="F12:F1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workbookViewId="0">
      <selection activeCell="B3" sqref="B3"/>
    </sheetView>
  </sheetViews>
  <sheetFormatPr defaultRowHeight="12.75"/>
  <cols>
    <col min="2" max="2" width="11.75" customWidth="1"/>
    <col min="3" max="3" width="10.375" customWidth="1"/>
    <col min="4" max="4" width="69.625" customWidth="1"/>
    <col min="6" max="6" width="14.875" customWidth="1"/>
    <col min="7" max="7" width="11.875" customWidth="1"/>
    <col min="8" max="8" width="14.125" customWidth="1"/>
  </cols>
  <sheetData>
    <row r="1" spans="1:8" ht="15">
      <c r="A1" s="4" t="s">
        <v>8</v>
      </c>
    </row>
    <row r="3" spans="1:8">
      <c r="A3" t="s">
        <v>9</v>
      </c>
      <c r="B3" s="23" t="s">
        <v>378</v>
      </c>
    </row>
    <row r="4" spans="1:8">
      <c r="B4" s="23"/>
    </row>
    <row r="5" spans="1:8">
      <c r="A5" t="s">
        <v>10</v>
      </c>
      <c r="B5" s="23" t="s">
        <v>39</v>
      </c>
    </row>
    <row r="6" spans="1:8">
      <c r="B6" s="23"/>
    </row>
    <row r="7" spans="1:8">
      <c r="A7" t="s">
        <v>17</v>
      </c>
      <c r="B7" s="23" t="s">
        <v>329</v>
      </c>
    </row>
    <row r="8" spans="1:8">
      <c r="B8" s="23"/>
    </row>
    <row r="9" spans="1:8">
      <c r="A9" t="s">
        <v>11</v>
      </c>
      <c r="B9" s="23" t="s">
        <v>34</v>
      </c>
      <c r="F9" t="s">
        <v>19</v>
      </c>
      <c r="G9" s="2">
        <f>Rekapitulace!I7</f>
        <v>44446</v>
      </c>
    </row>
    <row r="11" spans="1:8" ht="13.5" thickBot="1">
      <c r="G11" s="186" t="s">
        <v>137</v>
      </c>
      <c r="H11" s="187">
        <f>SUM(H15:H185)</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c r="A15" s="24"/>
      <c r="B15" s="25"/>
      <c r="C15" s="26" t="s">
        <v>40</v>
      </c>
      <c r="D15" s="27" t="s">
        <v>41</v>
      </c>
      <c r="E15" s="28"/>
      <c r="F15" s="29"/>
      <c r="G15" s="30"/>
      <c r="H15" s="31"/>
    </row>
    <row r="16" spans="1:8">
      <c r="A16" s="32">
        <v>1</v>
      </c>
      <c r="B16" s="33" t="s">
        <v>332</v>
      </c>
      <c r="C16" s="34">
        <v>9909000500</v>
      </c>
      <c r="D16" s="35" t="s">
        <v>331</v>
      </c>
      <c r="E16" s="36" t="s">
        <v>43</v>
      </c>
      <c r="F16" s="37">
        <f>F27</f>
        <v>513.61307999999997</v>
      </c>
      <c r="G16" s="45"/>
      <c r="H16" s="31">
        <f>ROUND((G16*F16),2)</f>
        <v>0</v>
      </c>
    </row>
    <row r="17" spans="1:8">
      <c r="A17" s="79"/>
      <c r="B17" s="80"/>
      <c r="C17" s="80"/>
      <c r="D17" s="118" t="s">
        <v>140</v>
      </c>
      <c r="E17" s="81"/>
      <c r="F17" s="82"/>
      <c r="G17" s="83"/>
      <c r="H17" s="67"/>
    </row>
    <row r="18" spans="1:8">
      <c r="A18" s="46"/>
      <c r="B18" s="47"/>
      <c r="C18" s="47"/>
      <c r="D18" s="48" t="s">
        <v>44</v>
      </c>
      <c r="E18" s="49"/>
      <c r="F18" s="133">
        <f>730*0.6*0.16*2.5</f>
        <v>175.2</v>
      </c>
      <c r="G18" s="51"/>
      <c r="H18" s="52"/>
    </row>
    <row r="19" spans="1:8" ht="25.5">
      <c r="A19" s="46"/>
      <c r="B19" s="47"/>
      <c r="C19" s="47"/>
      <c r="D19" s="53" t="s">
        <v>45</v>
      </c>
      <c r="E19" s="49"/>
      <c r="F19" s="133">
        <f>3.142*0.3*0.3*0.7*189*2.5</f>
        <v>93.52948499999998</v>
      </c>
      <c r="G19" s="51"/>
      <c r="H19" s="52"/>
    </row>
    <row r="20" spans="1:8">
      <c r="A20" s="46"/>
      <c r="B20" s="47"/>
      <c r="C20" s="47"/>
      <c r="D20" s="48" t="s">
        <v>47</v>
      </c>
      <c r="E20" s="49"/>
      <c r="F20" s="133">
        <f>3.8*0.35*0.25*2.5*186</f>
        <v>154.61249999999998</v>
      </c>
      <c r="G20" s="51"/>
      <c r="H20" s="52"/>
    </row>
    <row r="21" spans="1:8">
      <c r="A21" s="46"/>
      <c r="B21" s="47"/>
      <c r="C21" s="47"/>
      <c r="D21" s="119" t="s">
        <v>141</v>
      </c>
      <c r="E21" s="49"/>
      <c r="F21" s="133"/>
      <c r="G21" s="51"/>
      <c r="H21" s="52"/>
    </row>
    <row r="22" spans="1:8">
      <c r="A22" s="46"/>
      <c r="B22" s="47"/>
      <c r="C22" s="47"/>
      <c r="D22" s="48" t="s">
        <v>142</v>
      </c>
      <c r="E22" s="77"/>
      <c r="F22" s="132">
        <f>300*0.25*0.5*0.16*2.5</f>
        <v>15</v>
      </c>
      <c r="G22" s="51"/>
      <c r="H22" s="52"/>
    </row>
    <row r="23" spans="1:8" ht="25.5">
      <c r="A23" s="46"/>
      <c r="B23" s="47"/>
      <c r="C23" s="47"/>
      <c r="D23" s="53" t="s">
        <v>143</v>
      </c>
      <c r="E23" s="77"/>
      <c r="F23" s="68">
        <f>3.142*0.3*0.3*0.7*40*2.5</f>
        <v>19.794599999999999</v>
      </c>
      <c r="G23" s="51"/>
      <c r="H23" s="52"/>
    </row>
    <row r="24" spans="1:8">
      <c r="A24" s="46"/>
      <c r="B24" s="47"/>
      <c r="C24" s="47"/>
      <c r="D24" s="119" t="s">
        <v>144</v>
      </c>
      <c r="E24" s="49"/>
      <c r="F24" s="133"/>
      <c r="G24" s="51"/>
      <c r="H24" s="52"/>
    </row>
    <row r="25" spans="1:8" ht="25.5">
      <c r="A25" s="46"/>
      <c r="B25" s="47"/>
      <c r="C25" s="47"/>
      <c r="D25" s="48" t="s">
        <v>145</v>
      </c>
      <c r="E25" s="49"/>
      <c r="F25" s="134">
        <f>486*0.25*0.5*0.16*2.5</f>
        <v>24.3</v>
      </c>
      <c r="G25" s="51"/>
      <c r="H25" s="52"/>
    </row>
    <row r="26" spans="1:8" ht="25.5">
      <c r="A26" s="210"/>
      <c r="B26" s="211"/>
      <c r="C26" s="211"/>
      <c r="D26" s="53" t="s">
        <v>146</v>
      </c>
      <c r="E26" s="77"/>
      <c r="F26" s="117">
        <f>3.142*0.3*0.3*0.7*63*2.5</f>
        <v>31.176494999999996</v>
      </c>
      <c r="G26" s="211"/>
      <c r="H26" s="212"/>
    </row>
    <row r="27" spans="1:8">
      <c r="A27" s="210"/>
      <c r="B27" s="211"/>
      <c r="C27" s="211"/>
      <c r="D27" s="135" t="s">
        <v>137</v>
      </c>
      <c r="E27" s="138"/>
      <c r="F27" s="139">
        <f>SUM(F18:F26)</f>
        <v>513.61307999999997</v>
      </c>
      <c r="G27" s="211"/>
      <c r="H27" s="212"/>
    </row>
    <row r="28" spans="1:8">
      <c r="A28" s="210"/>
      <c r="B28" s="211"/>
      <c r="C28" s="211"/>
      <c r="D28" s="135"/>
      <c r="E28" s="138"/>
      <c r="F28" s="139"/>
      <c r="G28" s="211"/>
      <c r="H28" s="212"/>
    </row>
    <row r="29" spans="1:8" ht="51">
      <c r="A29" s="210"/>
      <c r="B29" s="211"/>
      <c r="C29" s="211"/>
      <c r="D29" s="48" t="s">
        <v>342</v>
      </c>
      <c r="E29" s="138"/>
      <c r="F29" s="139"/>
      <c r="G29" s="211"/>
      <c r="H29" s="212"/>
    </row>
    <row r="30" spans="1:8">
      <c r="A30" s="24">
        <v>2</v>
      </c>
      <c r="B30" s="33" t="s">
        <v>332</v>
      </c>
      <c r="C30" s="75">
        <v>9903100100</v>
      </c>
      <c r="D30" s="76" t="s">
        <v>333</v>
      </c>
      <c r="E30" s="28" t="s">
        <v>334</v>
      </c>
      <c r="F30" s="29">
        <v>6</v>
      </c>
      <c r="G30" s="30"/>
      <c r="H30" s="31">
        <f>ROUND((G30*F30),2)</f>
        <v>0</v>
      </c>
    </row>
    <row r="31" spans="1:8" ht="51">
      <c r="A31" s="38"/>
      <c r="B31" s="39"/>
      <c r="C31" s="39"/>
      <c r="D31" s="53" t="s">
        <v>335</v>
      </c>
      <c r="E31" s="77"/>
      <c r="F31" s="42"/>
      <c r="G31" s="78"/>
      <c r="H31" s="44"/>
    </row>
    <row r="32" spans="1:8">
      <c r="A32" s="24">
        <v>3</v>
      </c>
      <c r="B32" s="33" t="s">
        <v>332</v>
      </c>
      <c r="C32" s="75">
        <v>9903200100</v>
      </c>
      <c r="D32" s="76" t="s">
        <v>336</v>
      </c>
      <c r="E32" s="28" t="s">
        <v>334</v>
      </c>
      <c r="F32" s="29">
        <v>6</v>
      </c>
      <c r="G32" s="30"/>
      <c r="H32" s="31">
        <f>ROUND((G32*F32),2)</f>
        <v>0</v>
      </c>
    </row>
    <row r="33" spans="1:8" ht="51">
      <c r="A33" s="210"/>
      <c r="B33" s="211"/>
      <c r="C33" s="211"/>
      <c r="D33" s="53" t="s">
        <v>337</v>
      </c>
      <c r="E33" s="138"/>
      <c r="F33" s="139"/>
      <c r="G33" s="211"/>
      <c r="H33" s="212"/>
    </row>
    <row r="34" spans="1:8">
      <c r="A34" s="24">
        <v>4</v>
      </c>
      <c r="B34" s="33" t="s">
        <v>332</v>
      </c>
      <c r="C34" s="75">
        <v>9903200100</v>
      </c>
      <c r="D34" s="76" t="s">
        <v>338</v>
      </c>
      <c r="E34" s="28" t="s">
        <v>334</v>
      </c>
      <c r="F34" s="29">
        <v>3</v>
      </c>
      <c r="G34" s="30"/>
      <c r="H34" s="31">
        <f>ROUND((G34*F34),2)</f>
        <v>0</v>
      </c>
    </row>
    <row r="35" spans="1:8">
      <c r="A35" s="90"/>
      <c r="B35" s="80"/>
      <c r="C35" s="91"/>
      <c r="D35" s="53" t="s">
        <v>357</v>
      </c>
      <c r="E35" s="92"/>
      <c r="F35" s="50">
        <v>3</v>
      </c>
      <c r="G35" s="66"/>
      <c r="H35" s="67"/>
    </row>
    <row r="36" spans="1:8">
      <c r="A36" s="90"/>
      <c r="B36" s="80"/>
      <c r="C36" s="91"/>
      <c r="D36" s="53"/>
      <c r="E36" s="92"/>
      <c r="F36" s="93"/>
      <c r="G36" s="66"/>
      <c r="H36" s="67"/>
    </row>
    <row r="37" spans="1:8" ht="51">
      <c r="A37" s="210"/>
      <c r="B37" s="211"/>
      <c r="C37" s="211"/>
      <c r="D37" s="53" t="s">
        <v>339</v>
      </c>
      <c r="E37" s="138"/>
      <c r="F37" s="139"/>
      <c r="G37" s="211"/>
      <c r="H37" s="212"/>
    </row>
    <row r="38" spans="1:8" ht="38.25">
      <c r="A38" s="24">
        <v>5</v>
      </c>
      <c r="B38" s="33" t="s">
        <v>332</v>
      </c>
      <c r="C38" s="75">
        <v>9902200600</v>
      </c>
      <c r="D38" s="35" t="s">
        <v>341</v>
      </c>
      <c r="E38" s="28" t="s">
        <v>43</v>
      </c>
      <c r="F38" s="29">
        <f>F54</f>
        <v>1484.3581999999997</v>
      </c>
      <c r="G38" s="45"/>
      <c r="H38" s="105">
        <f>G38*F38</f>
        <v>0</v>
      </c>
    </row>
    <row r="39" spans="1:8">
      <c r="A39" s="38"/>
      <c r="B39" s="39"/>
      <c r="C39" s="39"/>
      <c r="D39" s="118" t="s">
        <v>140</v>
      </c>
      <c r="E39" s="92"/>
      <c r="F39" s="93"/>
      <c r="G39" s="78"/>
      <c r="H39" s="44"/>
    </row>
    <row r="40" spans="1:8">
      <c r="A40" s="38"/>
      <c r="B40" s="39"/>
      <c r="C40" s="39"/>
      <c r="D40" s="48" t="s">
        <v>132</v>
      </c>
      <c r="E40" s="49"/>
      <c r="F40" s="133">
        <f>730*0.6*0.16*2.5</f>
        <v>175.2</v>
      </c>
      <c r="G40" s="78"/>
      <c r="H40" s="44"/>
    </row>
    <row r="41" spans="1:8">
      <c r="A41" s="38"/>
      <c r="B41" s="39"/>
      <c r="C41" s="39"/>
      <c r="D41" s="48" t="s">
        <v>133</v>
      </c>
      <c r="E41" s="49"/>
      <c r="F41" s="133">
        <f>3.8*0.35*0.25*2.5*186</f>
        <v>154.61249999999998</v>
      </c>
      <c r="G41" s="78"/>
      <c r="H41" s="44"/>
    </row>
    <row r="42" spans="1:8" ht="25.5">
      <c r="A42" s="38"/>
      <c r="B42" s="39"/>
      <c r="C42" s="39"/>
      <c r="D42" s="48" t="s">
        <v>134</v>
      </c>
      <c r="E42" s="49"/>
      <c r="F42" s="133">
        <f>730*2.4*0.18*2.5</f>
        <v>788.40000000000009</v>
      </c>
      <c r="G42" s="78"/>
      <c r="H42" s="44"/>
    </row>
    <row r="43" spans="1:8">
      <c r="A43" s="38"/>
      <c r="B43" s="39"/>
      <c r="C43" s="39"/>
      <c r="D43" s="53" t="s">
        <v>135</v>
      </c>
      <c r="E43" s="77"/>
      <c r="F43" s="132">
        <f xml:space="preserve"> 3.8*30.4*0.001*3</f>
        <v>0.34655999999999998</v>
      </c>
      <c r="G43" s="78"/>
      <c r="H43" s="44"/>
    </row>
    <row r="44" spans="1:8" ht="25.5">
      <c r="A44" s="38"/>
      <c r="B44" s="39"/>
      <c r="C44" s="39"/>
      <c r="D44" s="53" t="s">
        <v>136</v>
      </c>
      <c r="E44" s="77"/>
      <c r="F44" s="132">
        <f>3.142*0.3*0.3*0.7*189*2.5</f>
        <v>93.52948499999998</v>
      </c>
      <c r="G44" s="78"/>
      <c r="H44" s="44"/>
    </row>
    <row r="45" spans="1:8">
      <c r="A45" s="38"/>
      <c r="B45" s="39"/>
      <c r="C45" s="39"/>
      <c r="D45" s="119" t="s">
        <v>141</v>
      </c>
      <c r="E45" s="77"/>
      <c r="F45" s="132"/>
      <c r="G45" s="78"/>
      <c r="H45" s="44"/>
    </row>
    <row r="46" spans="1:8">
      <c r="A46" s="38"/>
      <c r="B46" s="39"/>
      <c r="C46" s="39"/>
      <c r="D46" s="48" t="s">
        <v>142</v>
      </c>
      <c r="E46" s="77"/>
      <c r="F46" s="132">
        <f>300*0.25*0.5*0.16*2.5</f>
        <v>15</v>
      </c>
      <c r="G46" s="78"/>
      <c r="H46" s="44"/>
    </row>
    <row r="47" spans="1:8">
      <c r="A47" s="38"/>
      <c r="B47" s="39"/>
      <c r="C47" s="39"/>
      <c r="D47" s="53" t="s">
        <v>172</v>
      </c>
      <c r="E47" s="49"/>
      <c r="F47" s="133">
        <f xml:space="preserve"> 30.4*3.8*40/1000</f>
        <v>4.6208</v>
      </c>
      <c r="G47" s="78"/>
      <c r="H47" s="44"/>
    </row>
    <row r="48" spans="1:8">
      <c r="A48" s="38"/>
      <c r="B48" s="39"/>
      <c r="C48" s="39"/>
      <c r="D48" s="53" t="s">
        <v>173</v>
      </c>
      <c r="E48" s="77"/>
      <c r="F48" s="68">
        <f>3.142*0.3*0.3*0.7*40*2.5</f>
        <v>19.794599999999999</v>
      </c>
      <c r="G48" s="78"/>
      <c r="H48" s="44"/>
    </row>
    <row r="49" spans="1:8">
      <c r="A49" s="38"/>
      <c r="B49" s="39"/>
      <c r="C49" s="39"/>
      <c r="D49" s="119" t="s">
        <v>144</v>
      </c>
      <c r="E49" s="77"/>
      <c r="F49" s="132"/>
      <c r="G49" s="78"/>
      <c r="H49" s="44"/>
    </row>
    <row r="50" spans="1:8" ht="25.5">
      <c r="A50" s="38"/>
      <c r="B50" s="39"/>
      <c r="C50" s="39"/>
      <c r="D50" s="48" t="s">
        <v>174</v>
      </c>
      <c r="E50" s="49"/>
      <c r="F50" s="117">
        <f>486*2.5*0.2*0.7</f>
        <v>170.1</v>
      </c>
      <c r="G50" s="78"/>
      <c r="H50" s="44"/>
    </row>
    <row r="51" spans="1:8">
      <c r="A51" s="38"/>
      <c r="B51" s="39"/>
      <c r="C51" s="39"/>
      <c r="D51" s="48" t="s">
        <v>193</v>
      </c>
      <c r="E51" s="49"/>
      <c r="F51" s="116">
        <f>486*0.25*0.5*0.16*2.5</f>
        <v>24.3</v>
      </c>
      <c r="G51" s="78"/>
      <c r="H51" s="44"/>
    </row>
    <row r="52" spans="1:8">
      <c r="A52" s="38"/>
      <c r="B52" s="39"/>
      <c r="C52" s="39"/>
      <c r="D52" s="53" t="s">
        <v>194</v>
      </c>
      <c r="E52" s="77"/>
      <c r="F52" s="124">
        <f xml:space="preserve"> 3.8*30.4*0.001*63</f>
        <v>7.2777599999999998</v>
      </c>
      <c r="G52" s="78"/>
      <c r="H52" s="44"/>
    </row>
    <row r="53" spans="1:8" ht="25.5">
      <c r="A53" s="38"/>
      <c r="B53" s="39"/>
      <c r="C53" s="39"/>
      <c r="D53" s="53" t="s">
        <v>195</v>
      </c>
      <c r="E53" s="77"/>
      <c r="F53" s="117">
        <f>3.142*0.3*0.3*0.7*63*2.5</f>
        <v>31.176494999999996</v>
      </c>
      <c r="G53" s="78"/>
      <c r="H53" s="44"/>
    </row>
    <row r="54" spans="1:8">
      <c r="A54" s="38"/>
      <c r="B54" s="39"/>
      <c r="C54" s="39"/>
      <c r="D54" s="217" t="s">
        <v>46</v>
      </c>
      <c r="E54" s="41"/>
      <c r="F54" s="137">
        <f>SUM(F39:F53)</f>
        <v>1484.3581999999997</v>
      </c>
      <c r="G54" s="78"/>
      <c r="H54" s="44"/>
    </row>
    <row r="55" spans="1:8">
      <c r="A55" s="38"/>
      <c r="B55" s="39"/>
      <c r="C55" s="39"/>
      <c r="D55" s="217"/>
      <c r="E55" s="41"/>
      <c r="F55" s="137"/>
      <c r="G55" s="78"/>
      <c r="H55" s="44"/>
    </row>
    <row r="56" spans="1:8" ht="76.5">
      <c r="A56" s="38"/>
      <c r="B56" s="39"/>
      <c r="C56" s="39"/>
      <c r="D56" s="48" t="s">
        <v>340</v>
      </c>
      <c r="E56" s="41"/>
      <c r="F56" s="137"/>
      <c r="G56" s="78"/>
      <c r="H56" s="44"/>
    </row>
    <row r="57" spans="1:8" ht="38.25">
      <c r="A57" s="24">
        <v>6</v>
      </c>
      <c r="B57" s="33" t="s">
        <v>332</v>
      </c>
      <c r="C57" s="75">
        <v>9902100600</v>
      </c>
      <c r="D57" s="76" t="s">
        <v>347</v>
      </c>
      <c r="E57" s="28" t="s">
        <v>43</v>
      </c>
      <c r="F57" s="29">
        <f>F65</f>
        <v>840.26933669999994</v>
      </c>
      <c r="G57" s="30"/>
      <c r="H57" s="31">
        <f>ROUND((G57*F57),2)</f>
        <v>0</v>
      </c>
    </row>
    <row r="58" spans="1:8">
      <c r="A58" s="90"/>
      <c r="B58" s="91"/>
      <c r="C58" s="91"/>
      <c r="D58" s="53" t="s">
        <v>343</v>
      </c>
      <c r="E58" s="92"/>
      <c r="F58" s="93"/>
      <c r="G58" s="66"/>
      <c r="H58" s="67"/>
    </row>
    <row r="59" spans="1:8">
      <c r="A59" s="38"/>
      <c r="B59" s="39"/>
      <c r="C59" s="39"/>
      <c r="D59" s="118" t="s">
        <v>140</v>
      </c>
      <c r="E59" s="92"/>
      <c r="F59" s="93"/>
      <c r="G59" s="78"/>
      <c r="H59" s="44"/>
    </row>
    <row r="60" spans="1:8">
      <c r="A60" s="38"/>
      <c r="B60" s="39"/>
      <c r="C60" s="39"/>
      <c r="D60" s="53" t="s">
        <v>344</v>
      </c>
      <c r="E60" s="77"/>
      <c r="F60" s="132">
        <f>(3.142*0.63/2*0.63/2*4.2*189*1.25-37.412)*2</f>
        <v>543.87354327499997</v>
      </c>
      <c r="G60" s="78"/>
      <c r="H60" s="44"/>
    </row>
    <row r="61" spans="1:8">
      <c r="A61" s="38"/>
      <c r="B61" s="39"/>
      <c r="C61" s="39"/>
      <c r="D61" s="119" t="s">
        <v>141</v>
      </c>
      <c r="E61" s="77"/>
      <c r="F61" s="132"/>
      <c r="G61" s="78"/>
      <c r="H61" s="44"/>
    </row>
    <row r="62" spans="1:8">
      <c r="A62" s="38"/>
      <c r="B62" s="39"/>
      <c r="C62" s="39"/>
      <c r="D62" s="53" t="s">
        <v>345</v>
      </c>
      <c r="E62" s="77"/>
      <c r="F62" s="132">
        <f>(3.142*0.63/2*0.63/2*4.2*40*1.25-7.918)*2</f>
        <v>115.10527899999998</v>
      </c>
      <c r="G62" s="78"/>
      <c r="H62" s="44"/>
    </row>
    <row r="63" spans="1:8">
      <c r="A63" s="38"/>
      <c r="B63" s="39"/>
      <c r="C63" s="39"/>
      <c r="D63" s="119" t="s">
        <v>144</v>
      </c>
      <c r="E63" s="77"/>
      <c r="F63" s="132"/>
      <c r="G63" s="78"/>
      <c r="H63" s="44"/>
    </row>
    <row r="64" spans="1:8">
      <c r="A64" s="38"/>
      <c r="B64" s="39"/>
      <c r="C64" s="39"/>
      <c r="D64" s="53" t="s">
        <v>346</v>
      </c>
      <c r="E64" s="77"/>
      <c r="F64" s="132">
        <f>(3.142*0.63/2*0.63/2*4.2*63*1.25-12.471)*2</f>
        <v>181.29051442499997</v>
      </c>
      <c r="G64" s="78"/>
      <c r="H64" s="44"/>
    </row>
    <row r="65" spans="1:8">
      <c r="A65" s="38"/>
      <c r="B65" s="39"/>
      <c r="C65" s="39"/>
      <c r="D65" s="135" t="s">
        <v>137</v>
      </c>
      <c r="E65" s="77"/>
      <c r="F65" s="137">
        <f>SUM(F59:F64)</f>
        <v>840.26933669999994</v>
      </c>
      <c r="G65" s="78"/>
      <c r="H65" s="44"/>
    </row>
    <row r="66" spans="1:8">
      <c r="A66" s="210"/>
      <c r="B66" s="211"/>
      <c r="C66" s="211"/>
      <c r="D66" s="211"/>
      <c r="E66" s="211"/>
      <c r="F66" s="211"/>
      <c r="G66" s="211"/>
      <c r="H66" s="212"/>
    </row>
    <row r="67" spans="1:8" ht="77.25" thickBot="1">
      <c r="A67" s="213"/>
      <c r="B67" s="214"/>
      <c r="C67" s="214"/>
      <c r="D67" s="108" t="s">
        <v>348</v>
      </c>
      <c r="E67" s="214"/>
      <c r="F67" s="214"/>
      <c r="G67" s="214"/>
      <c r="H67" s="215"/>
    </row>
  </sheetData>
  <mergeCells count="8">
    <mergeCell ref="G12:G14"/>
    <mergeCell ref="H12:H14"/>
    <mergeCell ref="A12:A14"/>
    <mergeCell ref="B12:B14"/>
    <mergeCell ref="C12:C14"/>
    <mergeCell ref="D12:D14"/>
    <mergeCell ref="E12:E14"/>
    <mergeCell ref="F12:F14"/>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workbookViewId="0">
      <selection activeCell="B3" sqref="B3"/>
    </sheetView>
  </sheetViews>
  <sheetFormatPr defaultRowHeight="12.75"/>
  <cols>
    <col min="2" max="2" width="11.75" customWidth="1"/>
    <col min="4" max="4" width="50.5" customWidth="1"/>
    <col min="6" max="6" width="12.625" customWidth="1"/>
    <col min="7" max="7" width="12.5" customWidth="1"/>
    <col min="8" max="8" width="14.125" customWidth="1"/>
  </cols>
  <sheetData>
    <row r="1" spans="1:8" ht="15">
      <c r="A1" s="4" t="s">
        <v>8</v>
      </c>
    </row>
    <row r="3" spans="1:8">
      <c r="A3" t="s">
        <v>9</v>
      </c>
      <c r="B3" s="23" t="s">
        <v>378</v>
      </c>
    </row>
    <row r="4" spans="1:8">
      <c r="B4" s="23"/>
    </row>
    <row r="5" spans="1:8">
      <c r="A5" t="s">
        <v>10</v>
      </c>
      <c r="B5" s="23" t="s">
        <v>39</v>
      </c>
    </row>
    <row r="6" spans="1:8">
      <c r="B6" s="23"/>
    </row>
    <row r="7" spans="1:8">
      <c r="A7" t="s">
        <v>17</v>
      </c>
      <c r="B7" s="23" t="s">
        <v>319</v>
      </c>
    </row>
    <row r="8" spans="1:8">
      <c r="B8" s="23"/>
    </row>
    <row r="9" spans="1:8">
      <c r="A9" t="s">
        <v>11</v>
      </c>
      <c r="B9" s="23" t="s">
        <v>34</v>
      </c>
      <c r="F9" t="s">
        <v>19</v>
      </c>
      <c r="G9" s="2">
        <f>Rekapitulace!I7</f>
        <v>44446</v>
      </c>
    </row>
    <row r="11" spans="1:8" ht="13.5" thickBot="1">
      <c r="G11" s="186" t="s">
        <v>137</v>
      </c>
      <c r="H11" s="187">
        <f>SUM(H15:H162)</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c r="A15" s="230">
        <v>1</v>
      </c>
      <c r="B15" s="231" t="s">
        <v>138</v>
      </c>
      <c r="C15" s="232" t="s">
        <v>49</v>
      </c>
      <c r="D15" s="233" t="s">
        <v>50</v>
      </c>
      <c r="E15" s="234" t="s">
        <v>51</v>
      </c>
      <c r="F15" s="235">
        <f>F22</f>
        <v>3</v>
      </c>
      <c r="G15" s="224"/>
      <c r="H15" s="225">
        <f>ROUND((G15*F15),2)</f>
        <v>0</v>
      </c>
    </row>
    <row r="16" spans="1:8">
      <c r="A16" s="62"/>
      <c r="B16" s="80"/>
      <c r="C16" s="64"/>
      <c r="D16" s="118" t="s">
        <v>140</v>
      </c>
      <c r="E16" s="63"/>
      <c r="F16" s="65"/>
      <c r="G16" s="66"/>
      <c r="H16" s="67"/>
    </row>
    <row r="17" spans="1:8">
      <c r="A17" s="38"/>
      <c r="B17" s="39"/>
      <c r="C17" s="39"/>
      <c r="D17" s="53" t="s">
        <v>52</v>
      </c>
      <c r="E17" s="59"/>
      <c r="F17" s="68">
        <v>1</v>
      </c>
      <c r="G17" s="61"/>
      <c r="H17" s="44"/>
    </row>
    <row r="18" spans="1:8">
      <c r="A18" s="38"/>
      <c r="B18" s="39"/>
      <c r="C18" s="39"/>
      <c r="D18" s="119" t="s">
        <v>141</v>
      </c>
      <c r="E18" s="59"/>
      <c r="F18" s="60"/>
      <c r="G18" s="61"/>
      <c r="H18" s="44"/>
    </row>
    <row r="19" spans="1:8">
      <c r="A19" s="38"/>
      <c r="B19" s="39"/>
      <c r="C19" s="39"/>
      <c r="D19" s="53" t="s">
        <v>52</v>
      </c>
      <c r="E19" s="59"/>
      <c r="F19" s="68">
        <v>1</v>
      </c>
      <c r="G19" s="61"/>
      <c r="H19" s="44"/>
    </row>
    <row r="20" spans="1:8">
      <c r="A20" s="38"/>
      <c r="B20" s="39"/>
      <c r="C20" s="39"/>
      <c r="D20" s="119" t="s">
        <v>144</v>
      </c>
      <c r="E20" s="59"/>
      <c r="F20" s="60"/>
      <c r="G20" s="61"/>
      <c r="H20" s="44"/>
    </row>
    <row r="21" spans="1:8">
      <c r="A21" s="38"/>
      <c r="B21" s="39"/>
      <c r="C21" s="39"/>
      <c r="D21" s="53" t="s">
        <v>52</v>
      </c>
      <c r="E21" s="59"/>
      <c r="F21" s="68">
        <v>1</v>
      </c>
      <c r="G21" s="61"/>
      <c r="H21" s="44"/>
    </row>
    <row r="22" spans="1:8">
      <c r="A22" s="38"/>
      <c r="B22" s="39"/>
      <c r="C22" s="39"/>
      <c r="D22" s="135" t="s">
        <v>137</v>
      </c>
      <c r="E22" s="138"/>
      <c r="F22" s="139">
        <f>SUM(F16:F21)</f>
        <v>3</v>
      </c>
      <c r="G22" s="61"/>
      <c r="H22" s="44"/>
    </row>
    <row r="23" spans="1:8">
      <c r="A23" s="38"/>
      <c r="B23" s="39"/>
      <c r="C23" s="39"/>
      <c r="D23" s="135"/>
      <c r="E23" s="138"/>
      <c r="F23" s="139"/>
      <c r="G23" s="61"/>
      <c r="H23" s="44"/>
    </row>
    <row r="24" spans="1:8" ht="25.5">
      <c r="A24" s="38"/>
      <c r="B24" s="39"/>
      <c r="C24" s="39"/>
      <c r="D24" s="53" t="s">
        <v>313</v>
      </c>
      <c r="E24" s="138"/>
      <c r="F24" s="139"/>
      <c r="G24" s="61"/>
      <c r="H24" s="44"/>
    </row>
    <row r="25" spans="1:8">
      <c r="A25" s="54">
        <v>2</v>
      </c>
      <c r="B25" s="33" t="s">
        <v>138</v>
      </c>
      <c r="C25" s="55" t="s">
        <v>53</v>
      </c>
      <c r="D25" s="56" t="s">
        <v>54</v>
      </c>
      <c r="E25" s="57" t="s">
        <v>55</v>
      </c>
      <c r="F25" s="58">
        <f>F35</f>
        <v>132</v>
      </c>
      <c r="G25" s="30"/>
      <c r="H25" s="31">
        <f>ROUND((G25*F25),2)</f>
        <v>0</v>
      </c>
    </row>
    <row r="26" spans="1:8">
      <c r="A26" s="62"/>
      <c r="B26" s="80"/>
      <c r="C26" s="64"/>
      <c r="D26" s="118" t="s">
        <v>140</v>
      </c>
      <c r="E26" s="63"/>
      <c r="F26" s="65"/>
      <c r="G26" s="66"/>
      <c r="H26" s="67"/>
    </row>
    <row r="27" spans="1:8">
      <c r="A27" s="62"/>
      <c r="B27" s="63"/>
      <c r="C27" s="64"/>
      <c r="D27" s="53" t="s">
        <v>56</v>
      </c>
      <c r="E27" s="63"/>
      <c r="F27" s="65"/>
      <c r="G27" s="66"/>
      <c r="H27" s="67"/>
    </row>
    <row r="28" spans="1:8">
      <c r="A28" s="62"/>
      <c r="B28" s="63"/>
      <c r="C28" s="64"/>
      <c r="D28" s="53" t="s">
        <v>57</v>
      </c>
      <c r="E28" s="63"/>
      <c r="F28" s="68">
        <f>189/3</f>
        <v>63</v>
      </c>
      <c r="G28" s="66"/>
      <c r="H28" s="67"/>
    </row>
    <row r="29" spans="1:8">
      <c r="A29" s="62"/>
      <c r="B29" s="63"/>
      <c r="C29" s="64"/>
      <c r="D29" s="119" t="s">
        <v>141</v>
      </c>
      <c r="E29" s="63"/>
      <c r="F29" s="68"/>
      <c r="G29" s="66"/>
      <c r="H29" s="67"/>
    </row>
    <row r="30" spans="1:8">
      <c r="A30" s="62"/>
      <c r="B30" s="63"/>
      <c r="C30" s="64"/>
      <c r="D30" s="53" t="s">
        <v>56</v>
      </c>
      <c r="E30" s="63"/>
      <c r="F30" s="65"/>
      <c r="G30" s="66"/>
      <c r="H30" s="67"/>
    </row>
    <row r="31" spans="1:8">
      <c r="A31" s="62"/>
      <c r="B31" s="63"/>
      <c r="C31" s="64"/>
      <c r="D31" s="53" t="s">
        <v>151</v>
      </c>
      <c r="E31" s="63"/>
      <c r="F31" s="68">
        <v>27</v>
      </c>
      <c r="G31" s="66"/>
      <c r="H31" s="67"/>
    </row>
    <row r="32" spans="1:8">
      <c r="A32" s="62"/>
      <c r="B32" s="63"/>
      <c r="C32" s="64"/>
      <c r="D32" s="119" t="s">
        <v>144</v>
      </c>
      <c r="E32" s="63"/>
      <c r="F32" s="68"/>
      <c r="G32" s="66"/>
      <c r="H32" s="67"/>
    </row>
    <row r="33" spans="1:8">
      <c r="A33" s="62"/>
      <c r="B33" s="63"/>
      <c r="C33" s="64"/>
      <c r="D33" s="53" t="s">
        <v>56</v>
      </c>
      <c r="E33" s="63"/>
      <c r="F33" s="123"/>
      <c r="G33" s="66"/>
      <c r="H33" s="67"/>
    </row>
    <row r="34" spans="1:8">
      <c r="A34" s="62"/>
      <c r="B34" s="63"/>
      <c r="C34" s="64"/>
      <c r="D34" s="53" t="s">
        <v>175</v>
      </c>
      <c r="E34" s="63"/>
      <c r="F34" s="117">
        <f>126/3</f>
        <v>42</v>
      </c>
      <c r="G34" s="66"/>
      <c r="H34" s="67"/>
    </row>
    <row r="35" spans="1:8">
      <c r="A35" s="62"/>
      <c r="B35" s="63"/>
      <c r="C35" s="64"/>
      <c r="D35" s="135" t="s">
        <v>137</v>
      </c>
      <c r="E35" s="138"/>
      <c r="F35" s="139">
        <f>SUM(F28:F34)</f>
        <v>132</v>
      </c>
      <c r="G35" s="66"/>
      <c r="H35" s="67"/>
    </row>
    <row r="36" spans="1:8">
      <c r="A36" s="62"/>
      <c r="B36" s="63"/>
      <c r="C36" s="64"/>
      <c r="D36" s="135"/>
      <c r="E36" s="138"/>
      <c r="F36" s="139"/>
      <c r="G36" s="66"/>
      <c r="H36" s="67"/>
    </row>
    <row r="37" spans="1:8" ht="25.5">
      <c r="A37" s="62"/>
      <c r="B37" s="63"/>
      <c r="C37" s="64"/>
      <c r="D37" s="53" t="s">
        <v>313</v>
      </c>
      <c r="E37" s="138"/>
      <c r="F37" s="139"/>
      <c r="G37" s="66"/>
      <c r="H37" s="67"/>
    </row>
    <row r="38" spans="1:8">
      <c r="A38" s="54">
        <v>3</v>
      </c>
      <c r="B38" s="33" t="s">
        <v>138</v>
      </c>
      <c r="C38" s="55" t="s">
        <v>58</v>
      </c>
      <c r="D38" s="56" t="s">
        <v>59</v>
      </c>
      <c r="E38" s="57" t="s">
        <v>51</v>
      </c>
      <c r="F38" s="58">
        <f>F45</f>
        <v>3</v>
      </c>
      <c r="G38" s="30"/>
      <c r="H38" s="31">
        <f>ROUND((G38*F38),2)</f>
        <v>0</v>
      </c>
    </row>
    <row r="39" spans="1:8">
      <c r="A39" s="38"/>
      <c r="B39" s="39"/>
      <c r="C39" s="39"/>
      <c r="D39" s="118" t="s">
        <v>140</v>
      </c>
      <c r="E39" s="63"/>
      <c r="F39" s="65"/>
      <c r="G39" s="61"/>
      <c r="H39" s="44"/>
    </row>
    <row r="40" spans="1:8">
      <c r="A40" s="38"/>
      <c r="B40" s="39"/>
      <c r="C40" s="39"/>
      <c r="D40" s="53" t="s">
        <v>60</v>
      </c>
      <c r="E40" s="59"/>
      <c r="F40" s="68">
        <v>1</v>
      </c>
      <c r="G40" s="61"/>
      <c r="H40" s="44"/>
    </row>
    <row r="41" spans="1:8">
      <c r="A41" s="38"/>
      <c r="B41" s="39"/>
      <c r="C41" s="39"/>
      <c r="D41" s="119" t="s">
        <v>141</v>
      </c>
      <c r="E41" s="59"/>
      <c r="F41" s="60"/>
      <c r="G41" s="61"/>
      <c r="H41" s="44"/>
    </row>
    <row r="42" spans="1:8">
      <c r="A42" s="38"/>
      <c r="B42" s="39"/>
      <c r="C42" s="39"/>
      <c r="D42" s="53" t="s">
        <v>60</v>
      </c>
      <c r="E42" s="59"/>
      <c r="F42" s="68">
        <v>1</v>
      </c>
      <c r="G42" s="61"/>
      <c r="H42" s="44"/>
    </row>
    <row r="43" spans="1:8">
      <c r="A43" s="38"/>
      <c r="B43" s="39"/>
      <c r="C43" s="39"/>
      <c r="D43" s="119" t="s">
        <v>144</v>
      </c>
      <c r="E43" s="59"/>
      <c r="F43" s="60"/>
      <c r="G43" s="61"/>
      <c r="H43" s="44"/>
    </row>
    <row r="44" spans="1:8">
      <c r="A44" s="38"/>
      <c r="B44" s="39"/>
      <c r="C44" s="39"/>
      <c r="D44" s="53" t="s">
        <v>60</v>
      </c>
      <c r="E44" s="59"/>
      <c r="F44" s="68">
        <v>1</v>
      </c>
      <c r="G44" s="61"/>
      <c r="H44" s="44"/>
    </row>
    <row r="45" spans="1:8">
      <c r="A45" s="38"/>
      <c r="B45" s="39"/>
      <c r="C45" s="39"/>
      <c r="D45" s="135" t="s">
        <v>137</v>
      </c>
      <c r="E45" s="138"/>
      <c r="F45" s="139">
        <f>SUM(F39:F44)</f>
        <v>3</v>
      </c>
      <c r="G45" s="61"/>
      <c r="H45" s="44"/>
    </row>
    <row r="46" spans="1:8">
      <c r="A46" s="38"/>
      <c r="B46" s="39"/>
      <c r="C46" s="39"/>
      <c r="D46" s="135"/>
      <c r="E46" s="138"/>
      <c r="F46" s="139"/>
      <c r="G46" s="61"/>
      <c r="H46" s="44"/>
    </row>
    <row r="47" spans="1:8" ht="25.5">
      <c r="A47" s="38"/>
      <c r="B47" s="39"/>
      <c r="C47" s="39"/>
      <c r="D47" s="53" t="s">
        <v>313</v>
      </c>
      <c r="E47" s="138"/>
      <c r="F47" s="139"/>
      <c r="G47" s="61"/>
      <c r="H47" s="44"/>
    </row>
    <row r="48" spans="1:8">
      <c r="A48" s="54">
        <v>4</v>
      </c>
      <c r="B48" s="69"/>
      <c r="C48" s="57" t="s">
        <v>61</v>
      </c>
      <c r="D48" s="56" t="s">
        <v>62</v>
      </c>
      <c r="E48" s="57" t="s">
        <v>51</v>
      </c>
      <c r="F48" s="58">
        <v>1</v>
      </c>
      <c r="G48" s="30"/>
      <c r="H48" s="31">
        <f>ROUND((G48*F48),2)</f>
        <v>0</v>
      </c>
    </row>
    <row r="49" spans="1:8">
      <c r="A49" s="38"/>
      <c r="B49" s="39"/>
      <c r="C49" s="39"/>
      <c r="D49" s="53"/>
      <c r="E49" s="59"/>
      <c r="F49" s="60"/>
      <c r="G49" s="61"/>
      <c r="H49" s="44"/>
    </row>
    <row r="50" spans="1:8">
      <c r="A50" s="54">
        <v>5</v>
      </c>
      <c r="B50" s="33" t="s">
        <v>138</v>
      </c>
      <c r="C50" s="55" t="s">
        <v>200</v>
      </c>
      <c r="D50" s="56" t="s">
        <v>63</v>
      </c>
      <c r="E50" s="57" t="s">
        <v>51</v>
      </c>
      <c r="F50" s="58">
        <v>1</v>
      </c>
      <c r="G50" s="30"/>
      <c r="H50" s="31">
        <f>ROUND((G50*F50),2)</f>
        <v>0</v>
      </c>
    </row>
    <row r="51" spans="1:8">
      <c r="A51" s="62"/>
      <c r="B51" s="80"/>
      <c r="C51" s="64"/>
      <c r="D51" s="118" t="s">
        <v>201</v>
      </c>
      <c r="E51" s="63"/>
      <c r="F51" s="65"/>
      <c r="G51" s="66"/>
      <c r="H51" s="67"/>
    </row>
    <row r="52" spans="1:8">
      <c r="A52" s="62"/>
      <c r="B52" s="63"/>
      <c r="C52" s="63"/>
      <c r="D52" s="53" t="s">
        <v>64</v>
      </c>
      <c r="E52" s="59"/>
      <c r="F52" s="60"/>
      <c r="G52" s="43"/>
      <c r="H52" s="67"/>
    </row>
    <row r="53" spans="1:8">
      <c r="A53" s="62"/>
      <c r="B53" s="63"/>
      <c r="C53" s="63"/>
      <c r="D53" s="53" t="s">
        <v>65</v>
      </c>
      <c r="E53" s="70"/>
      <c r="F53" s="71"/>
      <c r="G53" s="72"/>
      <c r="H53" s="73"/>
    </row>
    <row r="54" spans="1:8">
      <c r="A54" s="38"/>
      <c r="B54" s="39"/>
      <c r="C54" s="39"/>
      <c r="D54" s="53" t="s">
        <v>66</v>
      </c>
      <c r="E54" s="59"/>
      <c r="F54" s="60"/>
      <c r="G54" s="61"/>
      <c r="H54" s="44"/>
    </row>
    <row r="55" spans="1:8">
      <c r="A55" s="38"/>
      <c r="B55" s="39"/>
      <c r="C55" s="39"/>
      <c r="D55" s="53" t="s">
        <v>67</v>
      </c>
      <c r="E55" s="59"/>
      <c r="F55" s="60"/>
      <c r="G55" s="61"/>
      <c r="H55" s="44"/>
    </row>
    <row r="56" spans="1:8">
      <c r="A56" s="38"/>
      <c r="B56" s="39"/>
      <c r="C56" s="39"/>
      <c r="D56" s="53"/>
      <c r="E56" s="59"/>
      <c r="F56" s="60"/>
      <c r="G56" s="61"/>
      <c r="H56" s="44"/>
    </row>
    <row r="57" spans="1:8" ht="25.5">
      <c r="A57" s="38"/>
      <c r="B57" s="39"/>
      <c r="C57" s="39"/>
      <c r="D57" s="53" t="s">
        <v>313</v>
      </c>
      <c r="E57" s="59"/>
      <c r="F57" s="60"/>
      <c r="G57" s="61"/>
      <c r="H57" s="44"/>
    </row>
    <row r="58" spans="1:8">
      <c r="A58" s="54">
        <v>6</v>
      </c>
      <c r="B58" s="33" t="s">
        <v>138</v>
      </c>
      <c r="C58" s="55" t="s">
        <v>68</v>
      </c>
      <c r="D58" s="56" t="s">
        <v>69</v>
      </c>
      <c r="E58" s="57" t="s">
        <v>51</v>
      </c>
      <c r="F58" s="58">
        <v>1</v>
      </c>
      <c r="G58" s="30"/>
      <c r="H58" s="31">
        <f>ROUND((G58*F58),2)</f>
        <v>0</v>
      </c>
    </row>
    <row r="59" spans="1:8">
      <c r="A59" s="62"/>
      <c r="B59" s="80"/>
      <c r="C59" s="64"/>
      <c r="D59" s="141"/>
      <c r="E59" s="63"/>
      <c r="F59" s="65"/>
      <c r="G59" s="66"/>
      <c r="H59" s="67"/>
    </row>
    <row r="60" spans="1:8" ht="25.5">
      <c r="A60" s="208"/>
      <c r="B60" s="204"/>
      <c r="C60" s="205"/>
      <c r="D60" s="190" t="s">
        <v>313</v>
      </c>
      <c r="E60" s="203"/>
      <c r="F60" s="206"/>
      <c r="G60" s="207"/>
      <c r="H60" s="209"/>
    </row>
    <row r="61" spans="1:8" ht="25.5">
      <c r="A61" s="196">
        <v>7</v>
      </c>
      <c r="B61" s="197" t="s">
        <v>138</v>
      </c>
      <c r="C61" s="198">
        <v>933433</v>
      </c>
      <c r="D61" s="199" t="s">
        <v>128</v>
      </c>
      <c r="E61" s="198" t="s">
        <v>55</v>
      </c>
      <c r="F61" s="200">
        <f>F68</f>
        <v>292</v>
      </c>
      <c r="G61" s="201"/>
      <c r="H61" s="202">
        <f>ROUND((G61*F61),2)</f>
        <v>0</v>
      </c>
    </row>
    <row r="62" spans="1:8">
      <c r="A62" s="210"/>
      <c r="B62" s="211"/>
      <c r="C62" s="211"/>
      <c r="D62" s="118" t="s">
        <v>140</v>
      </c>
      <c r="E62" s="63"/>
      <c r="F62" s="65"/>
      <c r="G62" s="211"/>
      <c r="H62" s="212"/>
    </row>
    <row r="63" spans="1:8">
      <c r="A63" s="210"/>
      <c r="B63" s="211"/>
      <c r="C63" s="211"/>
      <c r="D63" s="53" t="s">
        <v>129</v>
      </c>
      <c r="E63" s="59"/>
      <c r="F63" s="68">
        <v>189</v>
      </c>
      <c r="G63" s="211"/>
      <c r="H63" s="212"/>
    </row>
    <row r="64" spans="1:8">
      <c r="A64" s="210"/>
      <c r="B64" s="211"/>
      <c r="C64" s="211"/>
      <c r="D64" s="119" t="s">
        <v>141</v>
      </c>
      <c r="E64" s="59"/>
      <c r="F64" s="60"/>
      <c r="G64" s="211"/>
      <c r="H64" s="212"/>
    </row>
    <row r="65" spans="1:8">
      <c r="A65" s="210"/>
      <c r="B65" s="211"/>
      <c r="C65" s="211"/>
      <c r="D65" s="53" t="s">
        <v>170</v>
      </c>
      <c r="E65" s="59"/>
      <c r="F65" s="68">
        <v>40</v>
      </c>
      <c r="G65" s="211"/>
      <c r="H65" s="212"/>
    </row>
    <row r="66" spans="1:8">
      <c r="A66" s="210"/>
      <c r="B66" s="211"/>
      <c r="C66" s="211"/>
      <c r="D66" s="119" t="s">
        <v>144</v>
      </c>
      <c r="E66" s="59"/>
      <c r="F66" s="60"/>
      <c r="G66" s="211"/>
      <c r="H66" s="212"/>
    </row>
    <row r="67" spans="1:8">
      <c r="A67" s="210"/>
      <c r="B67" s="211"/>
      <c r="C67" s="211"/>
      <c r="D67" s="53" t="s">
        <v>191</v>
      </c>
      <c r="E67" s="59"/>
      <c r="F67" s="68">
        <v>63</v>
      </c>
      <c r="G67" s="211"/>
      <c r="H67" s="212"/>
    </row>
    <row r="68" spans="1:8">
      <c r="A68" s="210"/>
      <c r="B68" s="211"/>
      <c r="C68" s="211"/>
      <c r="D68" s="135" t="s">
        <v>137</v>
      </c>
      <c r="E68" s="138"/>
      <c r="F68" s="139">
        <f>SUM(F63:F67)</f>
        <v>292</v>
      </c>
      <c r="G68" s="211"/>
      <c r="H68" s="212"/>
    </row>
    <row r="69" spans="1:8">
      <c r="A69" s="210"/>
      <c r="B69" s="211"/>
      <c r="C69" s="211"/>
      <c r="D69" s="211"/>
      <c r="E69" s="211"/>
      <c r="F69" s="211"/>
      <c r="G69" s="211"/>
      <c r="H69" s="212"/>
    </row>
    <row r="70" spans="1:8">
      <c r="A70" s="210"/>
      <c r="B70" s="211"/>
      <c r="C70" s="211"/>
      <c r="D70" s="53" t="s">
        <v>314</v>
      </c>
      <c r="E70" s="211"/>
      <c r="F70" s="211"/>
      <c r="G70" s="211"/>
      <c r="H70" s="212"/>
    </row>
    <row r="71" spans="1:8" ht="25.5">
      <c r="A71" s="210"/>
      <c r="B71" s="211"/>
      <c r="C71" s="211"/>
      <c r="D71" s="53" t="s">
        <v>315</v>
      </c>
      <c r="E71" s="211"/>
      <c r="F71" s="211"/>
      <c r="G71" s="211"/>
      <c r="H71" s="212"/>
    </row>
    <row r="72" spans="1:8">
      <c r="A72" s="210"/>
      <c r="B72" s="211"/>
      <c r="C72" s="211"/>
      <c r="D72" s="53" t="s">
        <v>316</v>
      </c>
      <c r="E72" s="211"/>
      <c r="F72" s="211"/>
      <c r="G72" s="211"/>
      <c r="H72" s="212"/>
    </row>
    <row r="73" spans="1:8">
      <c r="A73" s="210"/>
      <c r="B73" s="211"/>
      <c r="C73" s="211"/>
      <c r="D73" s="53" t="s">
        <v>317</v>
      </c>
      <c r="E73" s="211"/>
      <c r="F73" s="211"/>
      <c r="G73" s="211"/>
      <c r="H73" s="212"/>
    </row>
    <row r="74" spans="1:8" ht="13.5" thickBot="1">
      <c r="A74" s="213"/>
      <c r="B74" s="214"/>
      <c r="C74" s="214"/>
      <c r="D74" s="108" t="s">
        <v>318</v>
      </c>
      <c r="E74" s="214"/>
      <c r="F74" s="214"/>
      <c r="G74" s="214"/>
      <c r="H74" s="215"/>
    </row>
    <row r="75" spans="1:8">
      <c r="D75" s="53"/>
    </row>
    <row r="76" spans="1:8">
      <c r="D76" s="53"/>
    </row>
    <row r="77" spans="1:8">
      <c r="D77" s="53"/>
    </row>
  </sheetData>
  <mergeCells count="8">
    <mergeCell ref="G12:G14"/>
    <mergeCell ref="H12:H14"/>
    <mergeCell ref="A12:A14"/>
    <mergeCell ref="B12:B14"/>
    <mergeCell ref="C12:C14"/>
    <mergeCell ref="D12:D14"/>
    <mergeCell ref="E12:E14"/>
    <mergeCell ref="F12:F14"/>
  </mergeCells>
  <conditionalFormatting sqref="G15:G16">
    <cfRule type="cellIs" dxfId="13" priority="10" stopIfTrue="1" operator="lessThan">
      <formula>0</formula>
    </cfRule>
  </conditionalFormatting>
  <conditionalFormatting sqref="G38">
    <cfRule type="cellIs" dxfId="12" priority="9" stopIfTrue="1" operator="lessThan">
      <formula>0</formula>
    </cfRule>
  </conditionalFormatting>
  <conditionalFormatting sqref="G50:G51">
    <cfRule type="cellIs" dxfId="11" priority="8" stopIfTrue="1" operator="lessThan">
      <formula>0</formula>
    </cfRule>
  </conditionalFormatting>
  <conditionalFormatting sqref="G58:G60">
    <cfRule type="cellIs" dxfId="10" priority="7" stopIfTrue="1" operator="lessThan">
      <formula>0</formula>
    </cfRule>
  </conditionalFormatting>
  <conditionalFormatting sqref="G48">
    <cfRule type="cellIs" dxfId="9" priority="6" stopIfTrue="1" operator="lessThan">
      <formula>0</formula>
    </cfRule>
  </conditionalFormatting>
  <conditionalFormatting sqref="G25:G37">
    <cfRule type="cellIs" dxfId="8" priority="5" stopIfTrue="1" operator="lessThan">
      <formula>0</formula>
    </cfRule>
  </conditionalFormatting>
  <conditionalFormatting sqref="G61">
    <cfRule type="cellIs" dxfId="7" priority="1" stopIfTrue="1" operator="lessThan">
      <formula>0</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K26" sqref="K26"/>
    </sheetView>
  </sheetViews>
  <sheetFormatPr defaultRowHeight="12.75"/>
  <cols>
    <col min="2" max="2" width="11.75" customWidth="1"/>
    <col min="4" max="4" width="50.5" customWidth="1"/>
    <col min="6" max="6" width="12.625" customWidth="1"/>
    <col min="7" max="7" width="12.5" customWidth="1"/>
    <col min="8" max="8" width="14.125" customWidth="1"/>
  </cols>
  <sheetData>
    <row r="1" spans="1:8" ht="15">
      <c r="A1" s="4" t="s">
        <v>8</v>
      </c>
    </row>
    <row r="3" spans="1:8">
      <c r="A3" t="s">
        <v>9</v>
      </c>
      <c r="B3" s="23" t="s">
        <v>378</v>
      </c>
    </row>
    <row r="4" spans="1:8">
      <c r="B4" s="23"/>
    </row>
    <row r="5" spans="1:8">
      <c r="A5" t="s">
        <v>10</v>
      </c>
      <c r="B5" s="23" t="s">
        <v>39</v>
      </c>
    </row>
    <row r="6" spans="1:8">
      <c r="B6" s="23"/>
    </row>
    <row r="7" spans="1:8">
      <c r="A7" t="s">
        <v>17</v>
      </c>
      <c r="B7" s="23" t="s">
        <v>330</v>
      </c>
    </row>
    <row r="8" spans="1:8">
      <c r="B8" s="23"/>
    </row>
    <row r="9" spans="1:8">
      <c r="A9" t="s">
        <v>11</v>
      </c>
      <c r="B9" s="23" t="s">
        <v>34</v>
      </c>
      <c r="F9" t="s">
        <v>19</v>
      </c>
      <c r="G9" s="2">
        <f>Rekapitulace!I7</f>
        <v>44446</v>
      </c>
    </row>
    <row r="11" spans="1:8" ht="13.5" thickBot="1">
      <c r="G11" s="186" t="s">
        <v>137</v>
      </c>
      <c r="H11" s="187">
        <f>SUM(H15:H135)</f>
        <v>0</v>
      </c>
    </row>
    <row r="12" spans="1:8">
      <c r="A12" s="252" t="s">
        <v>0</v>
      </c>
      <c r="B12" s="255" t="s">
        <v>1</v>
      </c>
      <c r="C12" s="258" t="s">
        <v>2</v>
      </c>
      <c r="D12" s="261" t="s">
        <v>3</v>
      </c>
      <c r="E12" s="264" t="s">
        <v>4</v>
      </c>
      <c r="F12" s="267" t="s">
        <v>5</v>
      </c>
      <c r="G12" s="246" t="s">
        <v>6</v>
      </c>
      <c r="H12" s="249" t="s">
        <v>7</v>
      </c>
    </row>
    <row r="13" spans="1:8">
      <c r="A13" s="253"/>
      <c r="B13" s="256"/>
      <c r="C13" s="259"/>
      <c r="D13" s="262"/>
      <c r="E13" s="265"/>
      <c r="F13" s="268"/>
      <c r="G13" s="247"/>
      <c r="H13" s="250"/>
    </row>
    <row r="14" spans="1:8" ht="13.5" thickBot="1">
      <c r="A14" s="254"/>
      <c r="B14" s="257"/>
      <c r="C14" s="260"/>
      <c r="D14" s="263"/>
      <c r="E14" s="266"/>
      <c r="F14" s="269"/>
      <c r="G14" s="248"/>
      <c r="H14" s="251"/>
    </row>
    <row r="15" spans="1:8" ht="25.5">
      <c r="A15" s="230">
        <v>1</v>
      </c>
      <c r="B15" s="231" t="s">
        <v>332</v>
      </c>
      <c r="C15" s="232" t="s">
        <v>358</v>
      </c>
      <c r="D15" s="233" t="s">
        <v>359</v>
      </c>
      <c r="E15" s="234" t="s">
        <v>360</v>
      </c>
      <c r="F15" s="235">
        <v>3</v>
      </c>
      <c r="G15" s="224"/>
      <c r="H15" s="225">
        <f>ROUND((G15*F15),2)</f>
        <v>0</v>
      </c>
    </row>
    <row r="16" spans="1:8">
      <c r="A16" s="62"/>
      <c r="B16" s="80"/>
      <c r="C16" s="64"/>
      <c r="D16" s="118" t="s">
        <v>364</v>
      </c>
      <c r="E16" s="63"/>
      <c r="F16" s="65"/>
      <c r="G16" s="66"/>
      <c r="H16" s="67"/>
    </row>
    <row r="17" spans="1:8">
      <c r="A17" s="62"/>
      <c r="B17" s="80"/>
      <c r="C17" s="64"/>
      <c r="D17" s="211"/>
      <c r="E17" s="63"/>
      <c r="F17" s="65"/>
      <c r="G17" s="66"/>
      <c r="H17" s="67"/>
    </row>
    <row r="18" spans="1:8" ht="63.75">
      <c r="A18" s="38"/>
      <c r="B18" s="39"/>
      <c r="C18" s="39"/>
      <c r="D18" s="53" t="s">
        <v>361</v>
      </c>
      <c r="E18" s="59"/>
      <c r="F18" s="68"/>
      <c r="G18" s="61"/>
      <c r="H18" s="44"/>
    </row>
    <row r="19" spans="1:8">
      <c r="A19" s="38"/>
      <c r="B19" s="39"/>
      <c r="C19" s="39"/>
      <c r="D19" s="119"/>
      <c r="E19" s="59"/>
      <c r="F19" s="60"/>
      <c r="G19" s="61"/>
      <c r="H19" s="44"/>
    </row>
    <row r="20" spans="1:8">
      <c r="A20" s="38"/>
      <c r="B20" s="39"/>
      <c r="C20" s="39"/>
      <c r="D20" s="53" t="s">
        <v>362</v>
      </c>
      <c r="E20" s="59"/>
      <c r="F20" s="68"/>
      <c r="G20" s="61"/>
      <c r="H20" s="44"/>
    </row>
    <row r="21" spans="1:8">
      <c r="A21" s="38"/>
      <c r="B21" s="39"/>
      <c r="C21" s="39"/>
      <c r="D21" s="53" t="s">
        <v>363</v>
      </c>
      <c r="E21" s="59"/>
      <c r="F21" s="68"/>
      <c r="G21" s="242"/>
      <c r="H21" s="44"/>
    </row>
    <row r="22" spans="1:8" ht="51">
      <c r="A22" s="54">
        <v>2</v>
      </c>
      <c r="B22" s="33" t="s">
        <v>332</v>
      </c>
      <c r="C22" s="55" t="s">
        <v>366</v>
      </c>
      <c r="D22" s="56" t="s">
        <v>365</v>
      </c>
      <c r="E22" s="57" t="s">
        <v>360</v>
      </c>
      <c r="F22" s="58">
        <v>1.2</v>
      </c>
      <c r="G22" s="241"/>
      <c r="H22" s="31">
        <f>ROUND((G22*F22),2)</f>
        <v>0</v>
      </c>
    </row>
    <row r="23" spans="1:8">
      <c r="A23" s="62"/>
      <c r="B23" s="80"/>
      <c r="C23" s="64"/>
      <c r="D23" s="118"/>
      <c r="E23" s="63"/>
      <c r="F23" s="65"/>
      <c r="G23" s="66"/>
      <c r="H23" s="67"/>
    </row>
    <row r="24" spans="1:8" ht="51">
      <c r="A24" s="62"/>
      <c r="B24" s="63"/>
      <c r="C24" s="64"/>
      <c r="D24" s="53" t="s">
        <v>365</v>
      </c>
      <c r="E24" s="63"/>
      <c r="F24" s="65"/>
      <c r="G24" s="66"/>
      <c r="H24" s="67"/>
    </row>
    <row r="25" spans="1:8">
      <c r="A25" s="62"/>
      <c r="B25" s="63"/>
      <c r="C25" s="64"/>
      <c r="D25" s="53"/>
      <c r="E25" s="63"/>
      <c r="F25" s="65"/>
      <c r="G25" s="66"/>
      <c r="H25" s="67"/>
    </row>
    <row r="26" spans="1:8">
      <c r="A26" s="62"/>
      <c r="B26" s="63"/>
      <c r="C26" s="64"/>
      <c r="D26" s="53" t="s">
        <v>362</v>
      </c>
      <c r="E26" s="63"/>
      <c r="F26" s="68"/>
      <c r="G26" s="66"/>
      <c r="H26" s="67"/>
    </row>
    <row r="27" spans="1:8">
      <c r="A27" s="62"/>
      <c r="B27" s="63"/>
      <c r="C27" s="64"/>
      <c r="D27" s="53" t="s">
        <v>367</v>
      </c>
      <c r="E27" s="63"/>
      <c r="F27" s="65"/>
      <c r="G27" s="207"/>
      <c r="H27" s="67"/>
    </row>
    <row r="28" spans="1:8">
      <c r="A28" s="54">
        <v>3</v>
      </c>
      <c r="B28" s="33" t="s">
        <v>332</v>
      </c>
      <c r="C28" s="55" t="s">
        <v>369</v>
      </c>
      <c r="D28" s="56" t="s">
        <v>368</v>
      </c>
      <c r="E28" s="57" t="s">
        <v>360</v>
      </c>
      <c r="F28" s="58">
        <v>10</v>
      </c>
      <c r="G28" s="241"/>
      <c r="H28" s="31">
        <f>ROUND((G28*F28),2)</f>
        <v>0</v>
      </c>
    </row>
    <row r="29" spans="1:8">
      <c r="A29" s="38"/>
      <c r="B29" s="39"/>
      <c r="C29" s="39"/>
      <c r="D29" s="118"/>
      <c r="E29" s="63"/>
      <c r="F29" s="65"/>
      <c r="G29" s="61"/>
      <c r="H29" s="44"/>
    </row>
    <row r="30" spans="1:8">
      <c r="A30" s="38"/>
      <c r="B30" s="39"/>
      <c r="C30" s="39"/>
      <c r="D30" s="53" t="s">
        <v>368</v>
      </c>
      <c r="E30" s="59"/>
      <c r="F30" s="68"/>
      <c r="G30" s="61"/>
      <c r="H30" s="44"/>
    </row>
    <row r="31" spans="1:8">
      <c r="A31" s="38"/>
      <c r="B31" s="39"/>
      <c r="C31" s="39"/>
      <c r="D31" s="119"/>
      <c r="E31" s="59"/>
      <c r="F31" s="60"/>
      <c r="G31" s="61"/>
      <c r="H31" s="44"/>
    </row>
    <row r="32" spans="1:8">
      <c r="A32" s="38"/>
      <c r="B32" s="39"/>
      <c r="C32" s="39"/>
      <c r="D32" s="53" t="s">
        <v>362</v>
      </c>
      <c r="E32" s="59"/>
      <c r="F32" s="68"/>
      <c r="G32" s="61"/>
      <c r="H32" s="44"/>
    </row>
    <row r="33" spans="1:8">
      <c r="A33" s="38"/>
      <c r="B33" s="39"/>
      <c r="C33" s="39"/>
      <c r="D33" s="53" t="s">
        <v>363</v>
      </c>
      <c r="E33" s="59"/>
      <c r="F33" s="68"/>
      <c r="G33" s="243"/>
      <c r="H33" s="44"/>
    </row>
    <row r="34" spans="1:8">
      <c r="A34" s="54">
        <v>4</v>
      </c>
      <c r="B34" s="33" t="s">
        <v>332</v>
      </c>
      <c r="C34" s="55" t="s">
        <v>371</v>
      </c>
      <c r="D34" s="56" t="s">
        <v>370</v>
      </c>
      <c r="E34" s="57" t="s">
        <v>360</v>
      </c>
      <c r="F34" s="58">
        <v>10</v>
      </c>
      <c r="G34" s="241"/>
      <c r="H34" s="31">
        <f>ROUND((G34*F34),2)</f>
        <v>0</v>
      </c>
    </row>
    <row r="35" spans="1:8">
      <c r="A35" s="62"/>
      <c r="B35" s="80"/>
      <c r="C35" s="64"/>
      <c r="D35" s="141"/>
      <c r="E35" s="63"/>
      <c r="F35" s="65"/>
      <c r="G35" s="66"/>
      <c r="H35" s="67"/>
    </row>
    <row r="36" spans="1:8">
      <c r="A36" s="62"/>
      <c r="B36" s="80"/>
      <c r="C36" s="64"/>
      <c r="D36" s="53" t="s">
        <v>370</v>
      </c>
      <c r="E36" s="63"/>
      <c r="F36" s="65"/>
      <c r="G36" s="66"/>
      <c r="H36" s="67"/>
    </row>
    <row r="37" spans="1:8">
      <c r="A37" s="62"/>
      <c r="B37" s="80"/>
      <c r="C37" s="64"/>
      <c r="D37" s="53"/>
      <c r="E37" s="63"/>
      <c r="F37" s="65"/>
      <c r="G37" s="66"/>
      <c r="H37" s="67"/>
    </row>
    <row r="38" spans="1:8">
      <c r="A38" s="62"/>
      <c r="B38" s="80"/>
      <c r="C38" s="64"/>
      <c r="D38" s="53" t="s">
        <v>362</v>
      </c>
      <c r="E38" s="63"/>
      <c r="F38" s="65"/>
      <c r="G38" s="66"/>
      <c r="H38" s="67"/>
    </row>
    <row r="39" spans="1:8">
      <c r="A39" s="38"/>
      <c r="B39" s="39"/>
      <c r="C39" s="39"/>
      <c r="D39" s="53" t="s">
        <v>363</v>
      </c>
      <c r="E39" s="59"/>
      <c r="F39" s="60"/>
      <c r="G39" s="242"/>
      <c r="H39" s="44"/>
    </row>
    <row r="40" spans="1:8" ht="38.25">
      <c r="A40" s="54">
        <v>5</v>
      </c>
      <c r="B40" s="33" t="s">
        <v>332</v>
      </c>
      <c r="C40" s="55" t="s">
        <v>373</v>
      </c>
      <c r="D40" s="56" t="s">
        <v>372</v>
      </c>
      <c r="E40" s="57" t="s">
        <v>360</v>
      </c>
      <c r="F40" s="58">
        <v>15</v>
      </c>
      <c r="G40" s="241"/>
      <c r="H40" s="31">
        <f>ROUND((G40*F40),2)</f>
        <v>0</v>
      </c>
    </row>
    <row r="41" spans="1:8">
      <c r="A41" s="62"/>
      <c r="B41" s="80"/>
      <c r="C41" s="64"/>
      <c r="D41" s="118"/>
      <c r="E41" s="63"/>
      <c r="F41" s="65"/>
      <c r="G41" s="66"/>
      <c r="H41" s="67"/>
    </row>
    <row r="42" spans="1:8" ht="38.25">
      <c r="A42" s="62"/>
      <c r="B42" s="63"/>
      <c r="C42" s="63"/>
      <c r="D42" s="53" t="s">
        <v>372</v>
      </c>
      <c r="E42" s="59"/>
      <c r="F42" s="60"/>
      <c r="G42" s="43"/>
      <c r="H42" s="67"/>
    </row>
    <row r="43" spans="1:8">
      <c r="A43" s="62"/>
      <c r="B43" s="63"/>
      <c r="C43" s="63"/>
      <c r="D43" s="53"/>
      <c r="E43" s="70"/>
      <c r="F43" s="71"/>
      <c r="G43" s="72"/>
      <c r="H43" s="73"/>
    </row>
    <row r="44" spans="1:8">
      <c r="A44" s="38"/>
      <c r="B44" s="39"/>
      <c r="C44" s="39"/>
      <c r="D44" s="53" t="s">
        <v>362</v>
      </c>
      <c r="E44" s="59"/>
      <c r="F44" s="60"/>
      <c r="G44" s="61"/>
      <c r="H44" s="44"/>
    </row>
    <row r="45" spans="1:8">
      <c r="A45" s="38"/>
      <c r="B45" s="39"/>
      <c r="C45" s="39"/>
      <c r="D45" s="53" t="s">
        <v>363</v>
      </c>
      <c r="E45" s="59"/>
      <c r="F45" s="60"/>
      <c r="G45" s="61"/>
      <c r="H45" s="44"/>
    </row>
    <row r="46" spans="1:8" ht="25.5">
      <c r="A46" s="54">
        <v>6</v>
      </c>
      <c r="B46" s="33" t="s">
        <v>332</v>
      </c>
      <c r="C46" s="55" t="s">
        <v>375</v>
      </c>
      <c r="D46" s="56" t="s">
        <v>374</v>
      </c>
      <c r="E46" s="57" t="s">
        <v>376</v>
      </c>
      <c r="F46" s="58">
        <v>750</v>
      </c>
      <c r="G46" s="30"/>
      <c r="H46" s="31">
        <f>ROUND((G46*F46),2)</f>
        <v>0</v>
      </c>
    </row>
    <row r="47" spans="1:8">
      <c r="A47" s="62"/>
      <c r="B47" s="80"/>
      <c r="C47" s="64"/>
      <c r="D47" s="141"/>
      <c r="E47" s="63"/>
      <c r="F47" s="65"/>
      <c r="G47" s="66"/>
      <c r="H47" s="67"/>
    </row>
    <row r="48" spans="1:8" ht="26.25" thickBot="1">
      <c r="A48" s="236"/>
      <c r="B48" s="192"/>
      <c r="C48" s="237"/>
      <c r="D48" s="108" t="s">
        <v>374</v>
      </c>
      <c r="E48" s="238"/>
      <c r="F48" s="239"/>
      <c r="G48" s="240"/>
      <c r="H48" s="195"/>
    </row>
    <row r="49" spans="4:4">
      <c r="D49" s="53"/>
    </row>
    <row r="50" spans="4:4">
      <c r="D50" s="53"/>
    </row>
  </sheetData>
  <mergeCells count="8">
    <mergeCell ref="G12:G14"/>
    <mergeCell ref="H12:H14"/>
    <mergeCell ref="A12:A14"/>
    <mergeCell ref="B12:B14"/>
    <mergeCell ref="C12:C14"/>
    <mergeCell ref="D12:D14"/>
    <mergeCell ref="E12:E14"/>
    <mergeCell ref="F12:F14"/>
  </mergeCells>
  <conditionalFormatting sqref="G15:G17 G22:G27">
    <cfRule type="cellIs" dxfId="6" priority="13" stopIfTrue="1" operator="lessThan">
      <formula>0</formula>
    </cfRule>
  </conditionalFormatting>
  <conditionalFormatting sqref="G41">
    <cfRule type="cellIs" dxfId="5" priority="11" stopIfTrue="1" operator="lessThan">
      <formula>0</formula>
    </cfRule>
  </conditionalFormatting>
  <conditionalFormatting sqref="G46:G48">
    <cfRule type="cellIs" dxfId="4" priority="10" stopIfTrue="1" operator="lessThan">
      <formula>0</formula>
    </cfRule>
  </conditionalFormatting>
  <conditionalFormatting sqref="G35:G38">
    <cfRule type="cellIs" dxfId="3" priority="9" stopIfTrue="1" operator="lessThan">
      <formula>0</formula>
    </cfRule>
  </conditionalFormatting>
  <conditionalFormatting sqref="G28">
    <cfRule type="cellIs" dxfId="2" priority="3" stopIfTrue="1" operator="lessThan">
      <formula>0</formula>
    </cfRule>
  </conditionalFormatting>
  <conditionalFormatting sqref="G34">
    <cfRule type="cellIs" dxfId="1" priority="2" stopIfTrue="1" operator="lessThan">
      <formula>0</formula>
    </cfRule>
  </conditionalFormatting>
  <conditionalFormatting sqref="G40">
    <cfRule type="cellIs" dxfId="0" priority="1" stopIfTrue="1" operator="lessThan">
      <formula>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Rekapitulace</vt:lpstr>
      <vt:lpstr>PHS 1 </vt:lpstr>
      <vt:lpstr>PHS 2</vt:lpstr>
      <vt:lpstr>PHS 3</vt:lpstr>
      <vt:lpstr>Manipulace-OTSKP</vt:lpstr>
      <vt:lpstr>Manipulace-ÚOŽI</vt:lpstr>
      <vt:lpstr>VON-OTSKP</vt:lpstr>
      <vt:lpstr>VON-ÚOŽI</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Hošpes Jan</dc:creator>
  <cp:lastModifiedBy>Svoboda Josef</cp:lastModifiedBy>
  <cp:lastPrinted>2021-09-06T08:41:46Z</cp:lastPrinted>
  <dcterms:created xsi:type="dcterms:W3CDTF">2021-09-03T11:34:14Z</dcterms:created>
  <dcterms:modified xsi:type="dcterms:W3CDTF">2021-09-08T05:44:07Z</dcterms:modified>
</cp:coreProperties>
</file>