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showInkAnnotation="0" codeName="Tento_sešit"/>
  <mc:AlternateContent xmlns:mc="http://schemas.openxmlformats.org/markup-compatibility/2006">
    <mc:Choice Requires="x15">
      <x15ac:absPath xmlns:x15ac="http://schemas.microsoft.com/office/spreadsheetml/2010/11/ac" url="d:\pw_data\matej.mares\d1113485\"/>
    </mc:Choice>
  </mc:AlternateContent>
  <xr:revisionPtr revIDLastSave="0" documentId="13_ncr:1_{66C66C19-DDDD-457C-9073-260A33266B6C}" xr6:coauthVersionLast="45" xr6:coauthVersionMax="45" xr10:uidLastSave="{00000000-0000-0000-0000-000000000000}"/>
  <bookViews>
    <workbookView xWindow="6660" yWindow="3330" windowWidth="43200" windowHeight="17235" tabRatio="590" xr2:uid="{00000000-000D-0000-FFFF-FFFF00000000}"/>
  </bookViews>
  <sheets>
    <sheet name="Tabulka propočtu, verze 201-0" sheetId="34" r:id="rId1"/>
    <sheet name="Changelog" sheetId="35" state="hidden" r:id="rId2"/>
    <sheet name="Databaze rizik" sheetId="38" state="hidden" r:id="rId3"/>
  </sheets>
  <definedNames>
    <definedName name="_xlnm._FilterDatabase" localSheetId="0" hidden="1">'Tabulka propočtu, verze 201-0'!$N$1:$N$2682</definedName>
    <definedName name="_xlnm.Print_Titles" localSheetId="0">'Tabulka propočtu, verze 201-0'!$2:$6</definedName>
    <definedName name="_xlnm.Print_Area" localSheetId="0">'Tabulka propočtu, verze 201-0'!$A$2:$CR$289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0" i="34" l="1"/>
  <c r="F251" i="34"/>
  <c r="F252" i="34"/>
  <c r="F253" i="34"/>
  <c r="AD32" i="34"/>
  <c r="M32" i="34"/>
  <c r="CK5" i="34" l="1"/>
  <c r="CJ5" i="34"/>
  <c r="CI5" i="34"/>
  <c r="BT5" i="34"/>
  <c r="BS5" i="34"/>
  <c r="BR5" i="34"/>
  <c r="AF4" i="34" l="1"/>
  <c r="AN4" i="34" s="1"/>
  <c r="BN247" i="34" l="1"/>
  <c r="AW247" i="34"/>
  <c r="BE247" i="34" s="1"/>
  <c r="O254" i="34"/>
  <c r="M52" i="34" l="1"/>
  <c r="O52" i="34" s="1"/>
  <c r="F235" i="34"/>
  <c r="F234" i="34"/>
  <c r="F233" i="34"/>
  <c r="F232" i="34"/>
  <c r="F231" i="34"/>
  <c r="F230" i="34"/>
  <c r="F229" i="34"/>
  <c r="F228" i="34"/>
  <c r="F227" i="34"/>
  <c r="F226" i="34"/>
  <c r="F225" i="34"/>
  <c r="F219" i="34"/>
  <c r="F218" i="34"/>
  <c r="F217" i="34"/>
  <c r="F216" i="34"/>
  <c r="F215" i="34"/>
  <c r="F208" i="34"/>
  <c r="F207" i="34"/>
  <c r="F206" i="34"/>
  <c r="F205" i="34"/>
  <c r="F204" i="34"/>
  <c r="F203" i="34"/>
  <c r="F202" i="34"/>
  <c r="F201" i="34"/>
  <c r="F200" i="34"/>
  <c r="F194" i="34"/>
  <c r="F193" i="34"/>
  <c r="F186" i="34"/>
  <c r="F185" i="34"/>
  <c r="F184" i="34"/>
  <c r="F183" i="34"/>
  <c r="F182" i="34"/>
  <c r="F181" i="34"/>
  <c r="F180" i="34"/>
  <c r="F179" i="34"/>
  <c r="F178" i="34"/>
  <c r="F177" i="34"/>
  <c r="F176" i="34"/>
  <c r="F169" i="34"/>
  <c r="F168" i="34"/>
  <c r="F167" i="34"/>
  <c r="F166" i="34"/>
  <c r="F160" i="34"/>
  <c r="F159" i="34"/>
  <c r="F152" i="34"/>
  <c r="F151" i="34"/>
  <c r="F150" i="34"/>
  <c r="F149" i="34"/>
  <c r="F148" i="34"/>
  <c r="F147" i="34"/>
  <c r="F146" i="34"/>
  <c r="F145" i="34"/>
  <c r="F144" i="34"/>
  <c r="F143" i="34"/>
  <c r="F142" i="34"/>
  <c r="F141" i="34"/>
  <c r="F140" i="34"/>
  <c r="F139" i="34"/>
  <c r="F138" i="34"/>
  <c r="F137" i="34"/>
  <c r="F136" i="34"/>
  <c r="F135" i="34"/>
  <c r="F134" i="34"/>
  <c r="F133" i="34"/>
  <c r="F132" i="34"/>
  <c r="F131" i="34"/>
  <c r="F130" i="34"/>
  <c r="F124" i="34"/>
  <c r="F123" i="34"/>
  <c r="F122" i="34"/>
  <c r="F121" i="34"/>
  <c r="F114" i="34"/>
  <c r="F113" i="34"/>
  <c r="F112" i="34"/>
  <c r="F111" i="34"/>
  <c r="F110" i="34"/>
  <c r="F109" i="34"/>
  <c r="F108" i="34"/>
  <c r="F107" i="34"/>
  <c r="F106" i="34"/>
  <c r="F105" i="34"/>
  <c r="F104" i="34"/>
  <c r="F103" i="34"/>
  <c r="F102" i="34"/>
  <c r="F101" i="34"/>
  <c r="F100" i="34"/>
  <c r="F93" i="34"/>
  <c r="F92" i="34"/>
  <c r="F91" i="34"/>
  <c r="F90" i="34"/>
  <c r="F89" i="34"/>
  <c r="F88" i="34"/>
  <c r="F87" i="34"/>
  <c r="F86" i="34"/>
  <c r="F85" i="34"/>
  <c r="F84" i="34"/>
  <c r="F83" i="34"/>
  <c r="F82" i="34"/>
  <c r="F81" i="34"/>
  <c r="F80" i="34"/>
  <c r="F79" i="34"/>
  <c r="F78" i="34"/>
  <c r="F77" i="34"/>
  <c r="F76" i="34"/>
  <c r="F75" i="34"/>
  <c r="F74" i="34"/>
  <c r="F73" i="34"/>
  <c r="F72" i="34"/>
  <c r="F71" i="34"/>
  <c r="F70" i="34"/>
  <c r="F69" i="34"/>
  <c r="F68" i="34"/>
  <c r="F67" i="34"/>
  <c r="F66" i="34"/>
  <c r="F60" i="34"/>
  <c r="F59" i="34"/>
  <c r="F58" i="34"/>
  <c r="F50" i="34"/>
  <c r="F49" i="34"/>
  <c r="F48" i="34"/>
  <c r="F47" i="34"/>
  <c r="F45" i="34"/>
  <c r="F43" i="34"/>
  <c r="F42" i="34"/>
  <c r="F35" i="34"/>
  <c r="F34" i="34"/>
  <c r="F33" i="34"/>
  <c r="F32" i="34"/>
  <c r="F31" i="34"/>
  <c r="F30" i="34"/>
  <c r="F29" i="34"/>
  <c r="F28" i="34"/>
  <c r="F27" i="34"/>
  <c r="F26" i="34"/>
  <c r="F25" i="34"/>
  <c r="F18" i="34"/>
  <c r="F17" i="34"/>
  <c r="F16" i="34"/>
  <c r="F15" i="34"/>
  <c r="F14" i="34"/>
  <c r="F13" i="34"/>
  <c r="F12" i="34"/>
  <c r="F11" i="34"/>
  <c r="F10" i="34"/>
  <c r="F9" i="34"/>
  <c r="F8" i="34"/>
  <c r="F7" i="34"/>
  <c r="CE255" i="34" l="1"/>
  <c r="CE5" i="34" l="1"/>
  <c r="CM5" i="34" s="1"/>
  <c r="CE4" i="34"/>
  <c r="CM4" i="34" s="1"/>
  <c r="BN5" i="34"/>
  <c r="BV5" i="34" s="1"/>
  <c r="BN4" i="34"/>
  <c r="BV4" i="34" s="1"/>
  <c r="AW5" i="34"/>
  <c r="BE5" i="34" s="1"/>
  <c r="AW4" i="34"/>
  <c r="BE4" i="34" s="1"/>
  <c r="AF5" i="34"/>
  <c r="AN5" i="34" s="1"/>
  <c r="O5" i="34"/>
  <c r="O4" i="34"/>
  <c r="O287" i="34" l="1"/>
  <c r="W287" i="34" s="1"/>
  <c r="AF287" i="34"/>
  <c r="AN287" i="34" s="1"/>
  <c r="BN287" i="34"/>
  <c r="BV287" i="34" s="1"/>
  <c r="AW287" i="34"/>
  <c r="BE287" i="34" s="1"/>
  <c r="CE287" i="34"/>
  <c r="CM287" i="34" s="1"/>
  <c r="CE254" i="34" l="1"/>
  <c r="CT240" i="34" l="1"/>
  <c r="CT239" i="34"/>
  <c r="CT238" i="34"/>
  <c r="CT237" i="34"/>
  <c r="CT236" i="34"/>
  <c r="CT235" i="34"/>
  <c r="CT234" i="34"/>
  <c r="CT233" i="34"/>
  <c r="CT232" i="34"/>
  <c r="CT231" i="34"/>
  <c r="CT230" i="34"/>
  <c r="CT229" i="34"/>
  <c r="CT228" i="34"/>
  <c r="CT227" i="34"/>
  <c r="CT226" i="34"/>
  <c r="CT225" i="34"/>
  <c r="CT223" i="34"/>
  <c r="CT222" i="34"/>
  <c r="CT221" i="34"/>
  <c r="CT220" i="34"/>
  <c r="CT219" i="34"/>
  <c r="CT218" i="34"/>
  <c r="CT217" i="34"/>
  <c r="CT216" i="34"/>
  <c r="CT215" i="34"/>
  <c r="CT213" i="34"/>
  <c r="CT212" i="34"/>
  <c r="CT211" i="34"/>
  <c r="CT210" i="34"/>
  <c r="CT209" i="34"/>
  <c r="CT208" i="34"/>
  <c r="CT207" i="34"/>
  <c r="CT206" i="34"/>
  <c r="CT205" i="34"/>
  <c r="CT204" i="34"/>
  <c r="CT203" i="34"/>
  <c r="CT202" i="34"/>
  <c r="CT201" i="34"/>
  <c r="CT200" i="34"/>
  <c r="CT198" i="34"/>
  <c r="CT197" i="34"/>
  <c r="CT196" i="34"/>
  <c r="CT195" i="34"/>
  <c r="CT194" i="34"/>
  <c r="CT193" i="34"/>
  <c r="CT191" i="34"/>
  <c r="CT190" i="34"/>
  <c r="CT189" i="34"/>
  <c r="CT188" i="34"/>
  <c r="CT187" i="34"/>
  <c r="CT186" i="34"/>
  <c r="CT185" i="34"/>
  <c r="CT184" i="34"/>
  <c r="CT183" i="34"/>
  <c r="CT182" i="34"/>
  <c r="CT181" i="34"/>
  <c r="CT180" i="34"/>
  <c r="CT179" i="34"/>
  <c r="CT178" i="34"/>
  <c r="CT177" i="34"/>
  <c r="CT176" i="34"/>
  <c r="CT174" i="34"/>
  <c r="CT173" i="34"/>
  <c r="CT172" i="34"/>
  <c r="CT171" i="34"/>
  <c r="CT170" i="34"/>
  <c r="CT169" i="34"/>
  <c r="CT168" i="34"/>
  <c r="CT167" i="34"/>
  <c r="CT166" i="34"/>
  <c r="CT164" i="34"/>
  <c r="CT163" i="34"/>
  <c r="CT162" i="34"/>
  <c r="CT161" i="34"/>
  <c r="CT160" i="34"/>
  <c r="CT159" i="34"/>
  <c r="CT157" i="34"/>
  <c r="CT156" i="34"/>
  <c r="CT155" i="34"/>
  <c r="CT154" i="34"/>
  <c r="CT153" i="34"/>
  <c r="CT152" i="34"/>
  <c r="CT151" i="34"/>
  <c r="CT150" i="34"/>
  <c r="CT149" i="34"/>
  <c r="CT148" i="34"/>
  <c r="CT147" i="34"/>
  <c r="CT146" i="34"/>
  <c r="CT145" i="34"/>
  <c r="CT144" i="34"/>
  <c r="CT143" i="34"/>
  <c r="CT142" i="34"/>
  <c r="CT141" i="34"/>
  <c r="CT140" i="34"/>
  <c r="CT139" i="34"/>
  <c r="CT138" i="34"/>
  <c r="CT137" i="34"/>
  <c r="CT136" i="34"/>
  <c r="CT135" i="34"/>
  <c r="CT134" i="34"/>
  <c r="CT133" i="34"/>
  <c r="CT132" i="34"/>
  <c r="CT131" i="34"/>
  <c r="CT130" i="34"/>
  <c r="CT128" i="34"/>
  <c r="CT127" i="34"/>
  <c r="CT126" i="34"/>
  <c r="CT125" i="34"/>
  <c r="CT124" i="34"/>
  <c r="CT123" i="34"/>
  <c r="CT122" i="34"/>
  <c r="CT121" i="34"/>
  <c r="CT119" i="34"/>
  <c r="CT118" i="34"/>
  <c r="CT117" i="34"/>
  <c r="CT116" i="34"/>
  <c r="CT115" i="34"/>
  <c r="CT114" i="34"/>
  <c r="CT113" i="34"/>
  <c r="CT112" i="34"/>
  <c r="CT111" i="34"/>
  <c r="CT110" i="34"/>
  <c r="CT109" i="34"/>
  <c r="CT108" i="34"/>
  <c r="CT107" i="34"/>
  <c r="CT106" i="34"/>
  <c r="CT105" i="34"/>
  <c r="CT104" i="34"/>
  <c r="CT103" i="34"/>
  <c r="CT102" i="34"/>
  <c r="CT101" i="34"/>
  <c r="CT100" i="34"/>
  <c r="CT98" i="34"/>
  <c r="CT97" i="34"/>
  <c r="CT96" i="34"/>
  <c r="CT95" i="34"/>
  <c r="CT94" i="34"/>
  <c r="CT93" i="34"/>
  <c r="CT92" i="34"/>
  <c r="CT91" i="34"/>
  <c r="CT90" i="34"/>
  <c r="CT89" i="34"/>
  <c r="CT88" i="34"/>
  <c r="CT87" i="34"/>
  <c r="CT86" i="34"/>
  <c r="CT85" i="34"/>
  <c r="CT84" i="34"/>
  <c r="CT83" i="34"/>
  <c r="CT82" i="34"/>
  <c r="CT81" i="34"/>
  <c r="CT80" i="34"/>
  <c r="CT79" i="34"/>
  <c r="CT78" i="34"/>
  <c r="CT77" i="34"/>
  <c r="CT76" i="34"/>
  <c r="CT75" i="34"/>
  <c r="CT74" i="34"/>
  <c r="CT73" i="34"/>
  <c r="CT72" i="34"/>
  <c r="CT71" i="34"/>
  <c r="CT70" i="34"/>
  <c r="CT69" i="34"/>
  <c r="CT68" i="34"/>
  <c r="CT67" i="34"/>
  <c r="CT66" i="34"/>
  <c r="CT64" i="34"/>
  <c r="CT63" i="34"/>
  <c r="CT62" i="34"/>
  <c r="CT61" i="34"/>
  <c r="CT60" i="34"/>
  <c r="CT59" i="34"/>
  <c r="CT58" i="34"/>
  <c r="CT56" i="34"/>
  <c r="CT55" i="34"/>
  <c r="CT54" i="34"/>
  <c r="CT53" i="34"/>
  <c r="CT52" i="34"/>
  <c r="CT51" i="34"/>
  <c r="CT50" i="34"/>
  <c r="CT49" i="34"/>
  <c r="CT48" i="34"/>
  <c r="CT47" i="34"/>
  <c r="CT46" i="34"/>
  <c r="CT45" i="34"/>
  <c r="CT44" i="34"/>
  <c r="CT43" i="34"/>
  <c r="CT42" i="34"/>
  <c r="CT40" i="34"/>
  <c r="CT39" i="34"/>
  <c r="CT38" i="34"/>
  <c r="CT37" i="34"/>
  <c r="CT36" i="34"/>
  <c r="CT35" i="34"/>
  <c r="CT34" i="34"/>
  <c r="CT33" i="34"/>
  <c r="CT32" i="34"/>
  <c r="CT31" i="34"/>
  <c r="CT30" i="34"/>
  <c r="CT29" i="34"/>
  <c r="CT28" i="34"/>
  <c r="CT27" i="34"/>
  <c r="CT26" i="34"/>
  <c r="CT25" i="34"/>
  <c r="CT8" i="34"/>
  <c r="CT9" i="34"/>
  <c r="CT10" i="34"/>
  <c r="CT11" i="34"/>
  <c r="CT12" i="34"/>
  <c r="CT14" i="34"/>
  <c r="CT15" i="34"/>
  <c r="CT16" i="34"/>
  <c r="CT17" i="34"/>
  <c r="CT18" i="34"/>
  <c r="CT19" i="34"/>
  <c r="CT20" i="34"/>
  <c r="CT21" i="34"/>
  <c r="CT22" i="34"/>
  <c r="CT23" i="34"/>
  <c r="CK225" i="34"/>
  <c r="CJ225" i="34"/>
  <c r="CI225" i="34"/>
  <c r="CH225" i="34"/>
  <c r="CG225" i="34"/>
  <c r="CF225" i="34"/>
  <c r="CK215" i="34"/>
  <c r="CJ215" i="34"/>
  <c r="CI215" i="34"/>
  <c r="CH215" i="34"/>
  <c r="CG215" i="34"/>
  <c r="CF215" i="34"/>
  <c r="CK200" i="34"/>
  <c r="CJ200" i="34"/>
  <c r="CI200" i="34"/>
  <c r="CH200" i="34"/>
  <c r="CG200" i="34"/>
  <c r="CF200" i="34"/>
  <c r="CK193" i="34"/>
  <c r="CJ193" i="34"/>
  <c r="CI193" i="34"/>
  <c r="CH193" i="34"/>
  <c r="CG193" i="34"/>
  <c r="CF193" i="34"/>
  <c r="CK176" i="34"/>
  <c r="CJ176" i="34"/>
  <c r="CI176" i="34"/>
  <c r="CH176" i="34"/>
  <c r="CG176" i="34"/>
  <c r="CF176" i="34"/>
  <c r="CK166" i="34"/>
  <c r="CJ166" i="34"/>
  <c r="CI166" i="34"/>
  <c r="CH166" i="34"/>
  <c r="CG166" i="34"/>
  <c r="CF166" i="34"/>
  <c r="CK159" i="34"/>
  <c r="CJ159" i="34"/>
  <c r="CI159" i="34"/>
  <c r="CH159" i="34"/>
  <c r="CG159" i="34"/>
  <c r="CF159" i="34"/>
  <c r="CK130" i="34"/>
  <c r="CJ130" i="34"/>
  <c r="CI130" i="34"/>
  <c r="CH130" i="34"/>
  <c r="CG130" i="34"/>
  <c r="CF130" i="34"/>
  <c r="CK121" i="34"/>
  <c r="CJ121" i="34"/>
  <c r="CI121" i="34"/>
  <c r="CH121" i="34"/>
  <c r="CG121" i="34"/>
  <c r="CF121" i="34"/>
  <c r="CK100" i="34"/>
  <c r="CJ100" i="34"/>
  <c r="CI100" i="34"/>
  <c r="CH100" i="34"/>
  <c r="CG100" i="34"/>
  <c r="CF100" i="34"/>
  <c r="CK66" i="34"/>
  <c r="CJ66" i="34"/>
  <c r="CI66" i="34"/>
  <c r="CH66" i="34"/>
  <c r="CG66" i="34"/>
  <c r="CF66" i="34"/>
  <c r="CK58" i="34"/>
  <c r="CJ58" i="34"/>
  <c r="CI58" i="34"/>
  <c r="CH58" i="34"/>
  <c r="CG58" i="34"/>
  <c r="CF58" i="34"/>
  <c r="CK42" i="34"/>
  <c r="CJ42" i="34"/>
  <c r="CI42" i="34"/>
  <c r="CH42" i="34"/>
  <c r="CG42" i="34"/>
  <c r="CF42" i="34"/>
  <c r="CK25" i="34"/>
  <c r="CJ25" i="34"/>
  <c r="CI25" i="34"/>
  <c r="CH25" i="34"/>
  <c r="CG25" i="34"/>
  <c r="CF25" i="34"/>
  <c r="CK7" i="34"/>
  <c r="CJ7" i="34"/>
  <c r="CI7" i="34"/>
  <c r="CH7" i="34"/>
  <c r="CG7" i="34"/>
  <c r="CF7" i="34"/>
  <c r="BT225" i="34"/>
  <c r="BS225" i="34"/>
  <c r="BR225" i="34"/>
  <c r="BQ225" i="34"/>
  <c r="BP225" i="34"/>
  <c r="BO225" i="34"/>
  <c r="BT215" i="34"/>
  <c r="BS215" i="34"/>
  <c r="BR215" i="34"/>
  <c r="BQ215" i="34"/>
  <c r="BP215" i="34"/>
  <c r="BO215" i="34"/>
  <c r="BT200" i="34"/>
  <c r="BS200" i="34"/>
  <c r="BR200" i="34"/>
  <c r="BQ200" i="34"/>
  <c r="BP200" i="34"/>
  <c r="BO200" i="34"/>
  <c r="BT193" i="34"/>
  <c r="BS193" i="34"/>
  <c r="BR193" i="34"/>
  <c r="BQ193" i="34"/>
  <c r="BP193" i="34"/>
  <c r="BO193" i="34"/>
  <c r="BT176" i="34"/>
  <c r="BS176" i="34"/>
  <c r="BR176" i="34"/>
  <c r="BQ176" i="34"/>
  <c r="BP176" i="34"/>
  <c r="BO176" i="34"/>
  <c r="BT166" i="34"/>
  <c r="BS166" i="34"/>
  <c r="BR166" i="34"/>
  <c r="BQ166" i="34"/>
  <c r="BP166" i="34"/>
  <c r="BO166" i="34"/>
  <c r="BT159" i="34"/>
  <c r="BS159" i="34"/>
  <c r="BR159" i="34"/>
  <c r="BQ159" i="34"/>
  <c r="BP159" i="34"/>
  <c r="BO159" i="34"/>
  <c r="BT130" i="34"/>
  <c r="BS130" i="34"/>
  <c r="BR130" i="34"/>
  <c r="BQ130" i="34"/>
  <c r="BP130" i="34"/>
  <c r="BO130" i="34"/>
  <c r="BT121" i="34"/>
  <c r="BS121" i="34"/>
  <c r="BR121" i="34"/>
  <c r="BQ121" i="34"/>
  <c r="BP121" i="34"/>
  <c r="BO121" i="34"/>
  <c r="BT100" i="34"/>
  <c r="BS100" i="34"/>
  <c r="BR100" i="34"/>
  <c r="BQ100" i="34"/>
  <c r="BP100" i="34"/>
  <c r="BO100" i="34"/>
  <c r="BT66" i="34"/>
  <c r="BS66" i="34"/>
  <c r="BR66" i="34"/>
  <c r="BQ66" i="34"/>
  <c r="BP66" i="34"/>
  <c r="BO66" i="34"/>
  <c r="BT58" i="34"/>
  <c r="BS58" i="34"/>
  <c r="BR58" i="34"/>
  <c r="BQ58" i="34"/>
  <c r="BP58" i="34"/>
  <c r="BO58" i="34"/>
  <c r="BT42" i="34"/>
  <c r="BS42" i="34"/>
  <c r="BR42" i="34"/>
  <c r="BQ42" i="34"/>
  <c r="BP42" i="34"/>
  <c r="BO42" i="34"/>
  <c r="BT25" i="34"/>
  <c r="BS25" i="34"/>
  <c r="BR25" i="34"/>
  <c r="BQ25" i="34"/>
  <c r="BP25" i="34"/>
  <c r="BO25" i="34"/>
  <c r="BT7" i="34"/>
  <c r="BS7" i="34"/>
  <c r="BR7" i="34"/>
  <c r="BQ7" i="34"/>
  <c r="BP7" i="34"/>
  <c r="BO7" i="34"/>
  <c r="BC225" i="34"/>
  <c r="BB225" i="34"/>
  <c r="BA225" i="34"/>
  <c r="AZ225" i="34"/>
  <c r="AY225" i="34"/>
  <c r="AX225" i="34"/>
  <c r="BC215" i="34"/>
  <c r="BB215" i="34"/>
  <c r="BA215" i="34"/>
  <c r="AZ215" i="34"/>
  <c r="AY215" i="34"/>
  <c r="AX215" i="34"/>
  <c r="BC200" i="34"/>
  <c r="BB200" i="34"/>
  <c r="BA200" i="34"/>
  <c r="AZ200" i="34"/>
  <c r="AY200" i="34"/>
  <c r="AX200" i="34"/>
  <c r="BC193" i="34"/>
  <c r="BB193" i="34"/>
  <c r="BA193" i="34"/>
  <c r="AZ193" i="34"/>
  <c r="AY193" i="34"/>
  <c r="AX193" i="34"/>
  <c r="BC176" i="34"/>
  <c r="BB176" i="34"/>
  <c r="BA176" i="34"/>
  <c r="AZ176" i="34"/>
  <c r="AY176" i="34"/>
  <c r="AX176" i="34"/>
  <c r="BC166" i="34"/>
  <c r="BB166" i="34"/>
  <c r="BA166" i="34"/>
  <c r="AZ166" i="34"/>
  <c r="AY166" i="34"/>
  <c r="AX166" i="34"/>
  <c r="BC159" i="34"/>
  <c r="BB159" i="34"/>
  <c r="BA159" i="34"/>
  <c r="AZ159" i="34"/>
  <c r="AY159" i="34"/>
  <c r="AX159" i="34"/>
  <c r="BC130" i="34"/>
  <c r="BB130" i="34"/>
  <c r="BA130" i="34"/>
  <c r="AZ130" i="34"/>
  <c r="AY130" i="34"/>
  <c r="AX130" i="34"/>
  <c r="BC121" i="34"/>
  <c r="BB121" i="34"/>
  <c r="BA121" i="34"/>
  <c r="AZ121" i="34"/>
  <c r="AY121" i="34"/>
  <c r="AX121" i="34"/>
  <c r="BC100" i="34"/>
  <c r="BB100" i="34"/>
  <c r="BA100" i="34"/>
  <c r="AZ100" i="34"/>
  <c r="AY100" i="34"/>
  <c r="AX100" i="34"/>
  <c r="BC66" i="34"/>
  <c r="BB66" i="34"/>
  <c r="BA66" i="34"/>
  <c r="AZ66" i="34"/>
  <c r="AY66" i="34"/>
  <c r="AX66" i="34"/>
  <c r="BC58" i="34"/>
  <c r="BB58" i="34"/>
  <c r="BA58" i="34"/>
  <c r="AZ58" i="34"/>
  <c r="AY58" i="34"/>
  <c r="AX58" i="34"/>
  <c r="BC42" i="34"/>
  <c r="BB42" i="34"/>
  <c r="BA42" i="34"/>
  <c r="AZ42" i="34"/>
  <c r="AY42" i="34"/>
  <c r="AX42" i="34"/>
  <c r="BC25" i="34"/>
  <c r="BB25" i="34"/>
  <c r="BA25" i="34"/>
  <c r="AZ25" i="34"/>
  <c r="AY25" i="34"/>
  <c r="AX25" i="34"/>
  <c r="BC7" i="34"/>
  <c r="BB7" i="34"/>
  <c r="BA7" i="34"/>
  <c r="AZ7" i="34"/>
  <c r="AY7" i="34"/>
  <c r="AX7" i="34"/>
  <c r="AL225" i="34"/>
  <c r="AK225" i="34"/>
  <c r="AJ225" i="34"/>
  <c r="AI225" i="34"/>
  <c r="AH225" i="34"/>
  <c r="AG225" i="34"/>
  <c r="AL215" i="34"/>
  <c r="AK215" i="34"/>
  <c r="AJ215" i="34"/>
  <c r="AI215" i="34"/>
  <c r="AH215" i="34"/>
  <c r="AG215" i="34"/>
  <c r="AL200" i="34"/>
  <c r="AK200" i="34"/>
  <c r="AJ200" i="34"/>
  <c r="AI200" i="34"/>
  <c r="AH200" i="34"/>
  <c r="AG200" i="34"/>
  <c r="AL193" i="34"/>
  <c r="AK193" i="34"/>
  <c r="AJ193" i="34"/>
  <c r="AI193" i="34"/>
  <c r="AH193" i="34"/>
  <c r="AG193" i="34"/>
  <c r="AL176" i="34"/>
  <c r="AK176" i="34"/>
  <c r="AJ176" i="34"/>
  <c r="AI176" i="34"/>
  <c r="AH176" i="34"/>
  <c r="AG176" i="34"/>
  <c r="AL166" i="34"/>
  <c r="AK166" i="34"/>
  <c r="AJ166" i="34"/>
  <c r="AI166" i="34"/>
  <c r="AH166" i="34"/>
  <c r="AG166" i="34"/>
  <c r="AL159" i="34"/>
  <c r="AK159" i="34"/>
  <c r="AJ159" i="34"/>
  <c r="AI159" i="34"/>
  <c r="AH159" i="34"/>
  <c r="AG159" i="34"/>
  <c r="AL130" i="34"/>
  <c r="AK130" i="34"/>
  <c r="AJ130" i="34"/>
  <c r="AI130" i="34"/>
  <c r="AH130" i="34"/>
  <c r="AG130" i="34"/>
  <c r="AL121" i="34"/>
  <c r="AK121" i="34"/>
  <c r="AJ121" i="34"/>
  <c r="AI121" i="34"/>
  <c r="AH121" i="34"/>
  <c r="AG121" i="34"/>
  <c r="AL100" i="34"/>
  <c r="AK100" i="34"/>
  <c r="AJ100" i="34"/>
  <c r="AI100" i="34"/>
  <c r="AH100" i="34"/>
  <c r="AG100" i="34"/>
  <c r="AL66" i="34"/>
  <c r="AK66" i="34"/>
  <c r="AJ66" i="34"/>
  <c r="AI66" i="34"/>
  <c r="AH66" i="34"/>
  <c r="AG66" i="34"/>
  <c r="AL58" i="34"/>
  <c r="AK58" i="34"/>
  <c r="AJ58" i="34"/>
  <c r="AI58" i="34"/>
  <c r="AH58" i="34"/>
  <c r="AG58" i="34"/>
  <c r="AL42" i="34"/>
  <c r="AK42" i="34"/>
  <c r="AJ42" i="34"/>
  <c r="AI42" i="34"/>
  <c r="AH42" i="34"/>
  <c r="AG42" i="34"/>
  <c r="AL25" i="34"/>
  <c r="AK25" i="34"/>
  <c r="AJ25" i="34"/>
  <c r="AI25" i="34"/>
  <c r="AH25" i="34"/>
  <c r="AG25" i="34"/>
  <c r="AL7" i="34"/>
  <c r="AK7" i="34"/>
  <c r="AJ7" i="34"/>
  <c r="AI7" i="34"/>
  <c r="AH7" i="34"/>
  <c r="AG7" i="34"/>
  <c r="Q225" i="34"/>
  <c r="Q215" i="34"/>
  <c r="Q200" i="34"/>
  <c r="Q193" i="34"/>
  <c r="Q176" i="34"/>
  <c r="Q166" i="34"/>
  <c r="Q159" i="34"/>
  <c r="Q130" i="34"/>
  <c r="Q121" i="34"/>
  <c r="Q100" i="34"/>
  <c r="Q66" i="34"/>
  <c r="Q58" i="34"/>
  <c r="Q42" i="34"/>
  <c r="Q25" i="34"/>
  <c r="Q7" i="34"/>
  <c r="R225" i="34"/>
  <c r="R215" i="34"/>
  <c r="R200" i="34"/>
  <c r="R193" i="34"/>
  <c r="R176" i="34"/>
  <c r="R166" i="34"/>
  <c r="R159" i="34"/>
  <c r="R130" i="34"/>
  <c r="R121" i="34"/>
  <c r="R100" i="34"/>
  <c r="R66" i="34"/>
  <c r="R58" i="34"/>
  <c r="R42" i="34"/>
  <c r="R25" i="34"/>
  <c r="R7" i="34"/>
  <c r="U225" i="34"/>
  <c r="U215" i="34"/>
  <c r="U200" i="34"/>
  <c r="U193" i="34"/>
  <c r="U176" i="34"/>
  <c r="U166" i="34"/>
  <c r="U159" i="34"/>
  <c r="U130" i="34"/>
  <c r="U121" i="34"/>
  <c r="U100" i="34"/>
  <c r="U66" i="34"/>
  <c r="U58" i="34"/>
  <c r="U42" i="34"/>
  <c r="U25" i="34"/>
  <c r="U7" i="34"/>
  <c r="T225" i="34"/>
  <c r="T215" i="34"/>
  <c r="T200" i="34"/>
  <c r="T193" i="34"/>
  <c r="T176" i="34"/>
  <c r="T166" i="34"/>
  <c r="T159" i="34"/>
  <c r="T130" i="34"/>
  <c r="T121" i="34"/>
  <c r="T100" i="34"/>
  <c r="T66" i="34"/>
  <c r="T58" i="34"/>
  <c r="T42" i="34"/>
  <c r="T25" i="34"/>
  <c r="T7" i="34"/>
  <c r="S225" i="34"/>
  <c r="S215" i="34"/>
  <c r="S200" i="34"/>
  <c r="S193" i="34"/>
  <c r="S176" i="34"/>
  <c r="S166" i="34"/>
  <c r="S159" i="34"/>
  <c r="S130" i="34"/>
  <c r="S121" i="34"/>
  <c r="S100" i="34"/>
  <c r="S66" i="34"/>
  <c r="S58" i="34"/>
  <c r="S42" i="34"/>
  <c r="S25" i="34"/>
  <c r="S7" i="34"/>
  <c r="P225" i="34"/>
  <c r="P215" i="34"/>
  <c r="P200" i="34"/>
  <c r="P193" i="34"/>
  <c r="P176" i="34"/>
  <c r="P166" i="34"/>
  <c r="P159" i="34"/>
  <c r="P130" i="34"/>
  <c r="P121" i="34"/>
  <c r="P100" i="34"/>
  <c r="P66" i="34"/>
  <c r="P58" i="34"/>
  <c r="P42" i="34"/>
  <c r="P25" i="34"/>
  <c r="P7" i="34"/>
  <c r="AM25" i="34" l="1"/>
  <c r="AM7" i="34"/>
  <c r="CT7" i="34" l="1"/>
  <c r="BG6" i="34" l="1"/>
  <c r="CL225" i="34" l="1"/>
  <c r="BU225" i="34"/>
  <c r="BD225" i="34"/>
  <c r="AM225" i="34"/>
  <c r="CL215" i="34"/>
  <c r="BU215" i="34"/>
  <c r="BD215" i="34"/>
  <c r="AM215" i="34"/>
  <c r="CL200" i="34"/>
  <c r="BU200" i="34"/>
  <c r="BD200" i="34"/>
  <c r="AM200" i="34"/>
  <c r="CL193" i="34"/>
  <c r="BU193" i="34"/>
  <c r="BD193" i="34"/>
  <c r="AM193" i="34"/>
  <c r="CL176" i="34"/>
  <c r="BU176" i="34"/>
  <c r="BD176" i="34"/>
  <c r="AM176" i="34"/>
  <c r="CL166" i="34"/>
  <c r="BU166" i="34"/>
  <c r="BD166" i="34"/>
  <c r="AM166" i="34"/>
  <c r="CL159" i="34"/>
  <c r="BU159" i="34"/>
  <c r="BD159" i="34"/>
  <c r="AM159" i="34"/>
  <c r="CL130" i="34"/>
  <c r="BU130" i="34"/>
  <c r="BD130" i="34"/>
  <c r="AM130" i="34"/>
  <c r="CL121" i="34"/>
  <c r="BU121" i="34"/>
  <c r="BD121" i="34"/>
  <c r="AM121" i="34"/>
  <c r="CL100" i="34"/>
  <c r="BU100" i="34"/>
  <c r="BD100" i="34"/>
  <c r="AM100" i="34"/>
  <c r="CL66" i="34"/>
  <c r="BU66" i="34"/>
  <c r="BD66" i="34"/>
  <c r="AM66" i="34"/>
  <c r="CL58" i="34"/>
  <c r="BU58" i="34"/>
  <c r="BD58" i="34"/>
  <c r="AM58" i="34"/>
  <c r="CL42" i="34"/>
  <c r="BU42" i="34"/>
  <c r="BD42" i="34"/>
  <c r="AM42" i="34"/>
  <c r="V42" i="34"/>
  <c r="CL25" i="34"/>
  <c r="BU25" i="34"/>
  <c r="BD25" i="34"/>
  <c r="BU7" i="34"/>
  <c r="BD7" i="34"/>
  <c r="CL7" i="34"/>
  <c r="F244" i="34" l="1"/>
  <c r="F245" i="34"/>
  <c r="F246" i="34"/>
  <c r="CP287" i="34" l="1"/>
  <c r="CR287" i="34" l="1"/>
  <c r="BV288" i="34"/>
  <c r="V225" i="34"/>
  <c r="V215" i="34"/>
  <c r="V200" i="34"/>
  <c r="V193" i="34"/>
  <c r="V176" i="34"/>
  <c r="V166" i="34"/>
  <c r="V159" i="34"/>
  <c r="V130" i="34"/>
  <c r="V121" i="34"/>
  <c r="V100" i="34"/>
  <c r="V66" i="34"/>
  <c r="V58" i="34"/>
  <c r="V25" i="34"/>
  <c r="V7" i="34"/>
  <c r="Y6" i="34"/>
  <c r="CM288" i="34" l="1"/>
  <c r="CC216" i="34" l="1"/>
  <c r="CE216" i="34" s="1"/>
  <c r="CM216" i="34" s="1"/>
  <c r="CC217" i="34"/>
  <c r="CE217" i="34" s="1"/>
  <c r="CM217" i="34" s="1"/>
  <c r="BL216" i="34"/>
  <c r="BN216" i="34" s="1"/>
  <c r="BV216" i="34" s="1"/>
  <c r="AU216" i="34"/>
  <c r="AW216" i="34" s="1"/>
  <c r="BE216" i="34" s="1"/>
  <c r="AD216" i="34"/>
  <c r="AF216" i="34" s="1"/>
  <c r="AN216" i="34" s="1"/>
  <c r="BL217" i="34"/>
  <c r="BN217" i="34" s="1"/>
  <c r="BV217" i="34" s="1"/>
  <c r="AU217" i="34"/>
  <c r="AW217" i="34" s="1"/>
  <c r="BE217" i="34" s="1"/>
  <c r="AD217" i="34"/>
  <c r="AF217" i="34" s="1"/>
  <c r="AN217" i="34" s="1"/>
  <c r="M217" i="34"/>
  <c r="O217" i="34" s="1"/>
  <c r="M216" i="34"/>
  <c r="O216" i="34" s="1"/>
  <c r="W216" i="34" l="1"/>
  <c r="CP216" i="34"/>
  <c r="W217" i="34"/>
  <c r="CR217" i="34" s="1"/>
  <c r="CP217" i="34"/>
  <c r="CR216" i="34"/>
  <c r="CC181" i="34"/>
  <c r="CE181" i="34" s="1"/>
  <c r="CM181" i="34" s="1"/>
  <c r="BL181" i="34"/>
  <c r="BN181" i="34" s="1"/>
  <c r="BV181" i="34" s="1"/>
  <c r="AU181" i="34"/>
  <c r="AW181" i="34" s="1"/>
  <c r="BE181" i="34" s="1"/>
  <c r="AD181" i="34"/>
  <c r="AF181" i="34" s="1"/>
  <c r="AN181" i="34" s="1"/>
  <c r="M181" i="34"/>
  <c r="O181" i="34" s="1"/>
  <c r="W181" i="34" l="1"/>
  <c r="CR181" i="34" s="1"/>
  <c r="CP181" i="34"/>
  <c r="CC124" i="34"/>
  <c r="CE124" i="34" s="1"/>
  <c r="CM124" i="34" s="1"/>
  <c r="CC123" i="34"/>
  <c r="CE123" i="34" s="1"/>
  <c r="CM123" i="34" s="1"/>
  <c r="BL124" i="34"/>
  <c r="BN124" i="34" s="1"/>
  <c r="BV124" i="34" s="1"/>
  <c r="BL123" i="34"/>
  <c r="BN123" i="34" s="1"/>
  <c r="BV123" i="34" s="1"/>
  <c r="AU124" i="34"/>
  <c r="AW124" i="34" s="1"/>
  <c r="BE124" i="34" s="1"/>
  <c r="AU123" i="34"/>
  <c r="AW123" i="34" s="1"/>
  <c r="BE123" i="34" s="1"/>
  <c r="AD124" i="34"/>
  <c r="AF124" i="34" s="1"/>
  <c r="AN124" i="34" s="1"/>
  <c r="AD123" i="34"/>
  <c r="AF123" i="34" s="1"/>
  <c r="AN123" i="34" s="1"/>
  <c r="M123" i="34"/>
  <c r="O123" i="34" s="1"/>
  <c r="M124" i="34"/>
  <c r="O124" i="34" s="1"/>
  <c r="CP123" i="34" l="1"/>
  <c r="W123" i="34"/>
  <c r="CR123" i="34" s="1"/>
  <c r="CP124" i="34"/>
  <c r="W124" i="34"/>
  <c r="CR124" i="34" s="1"/>
  <c r="CC67" i="34"/>
  <c r="CE67" i="34" s="1"/>
  <c r="CM67" i="34" s="1"/>
  <c r="BL67" i="34"/>
  <c r="BN67" i="34" s="1"/>
  <c r="BV67" i="34" s="1"/>
  <c r="AU67" i="34"/>
  <c r="AW67" i="34" s="1"/>
  <c r="BE67" i="34" s="1"/>
  <c r="AD67" i="34"/>
  <c r="AF67" i="34" s="1"/>
  <c r="AN67" i="34" s="1"/>
  <c r="M67" i="34"/>
  <c r="O67" i="34" s="1"/>
  <c r="CP67" i="34" l="1"/>
  <c r="W67" i="34"/>
  <c r="CR67" i="34" s="1"/>
  <c r="CC59" i="34"/>
  <c r="CE59" i="34" s="1"/>
  <c r="CM59" i="34" s="1"/>
  <c r="BL59" i="34"/>
  <c r="BN59" i="34" s="1"/>
  <c r="BV59" i="34" s="1"/>
  <c r="AU59" i="34"/>
  <c r="AW59" i="34" s="1"/>
  <c r="BE59" i="34" s="1"/>
  <c r="AD59" i="34"/>
  <c r="AF59" i="34" s="1"/>
  <c r="AN59" i="34" s="1"/>
  <c r="M59" i="34"/>
  <c r="O59" i="34" s="1"/>
  <c r="CC32" i="34"/>
  <c r="CE32" i="34" s="1"/>
  <c r="CM32" i="34" s="1"/>
  <c r="BL32" i="34"/>
  <c r="BN32" i="34" s="1"/>
  <c r="BV32" i="34" s="1"/>
  <c r="AU32" i="34"/>
  <c r="AW32" i="34" s="1"/>
  <c r="BE32" i="34" s="1"/>
  <c r="AF32" i="34"/>
  <c r="AN32" i="34" s="1"/>
  <c r="O32" i="34"/>
  <c r="CP59" i="34" l="1"/>
  <c r="W59" i="34"/>
  <c r="CR59" i="34" s="1"/>
  <c r="CP32" i="34"/>
  <c r="W32" i="34"/>
  <c r="CR32" i="34" s="1"/>
  <c r="CE128" i="34"/>
  <c r="CM128" i="34" s="1"/>
  <c r="BN128" i="34"/>
  <c r="BV128" i="34" s="1"/>
  <c r="AW128" i="34"/>
  <c r="BE128" i="34" s="1"/>
  <c r="AF128" i="34"/>
  <c r="AN128" i="34" s="1"/>
  <c r="O128" i="34"/>
  <c r="CE127" i="34"/>
  <c r="CM127" i="34" s="1"/>
  <c r="BN127" i="34"/>
  <c r="BV127" i="34" s="1"/>
  <c r="AW127" i="34"/>
  <c r="BE127" i="34" s="1"/>
  <c r="AF127" i="34"/>
  <c r="AN127" i="34" s="1"/>
  <c r="O127" i="34"/>
  <c r="CC126" i="34"/>
  <c r="CE126" i="34" s="1"/>
  <c r="CM126" i="34" s="1"/>
  <c r="BL126" i="34"/>
  <c r="BN126" i="34" s="1"/>
  <c r="BV126" i="34" s="1"/>
  <c r="AU126" i="34"/>
  <c r="AW126" i="34" s="1"/>
  <c r="BE126" i="34" s="1"/>
  <c r="AD126" i="34"/>
  <c r="AF126" i="34" s="1"/>
  <c r="AN126" i="34" s="1"/>
  <c r="M126" i="34"/>
  <c r="O126" i="34" s="1"/>
  <c r="CC125" i="34"/>
  <c r="CE125" i="34" s="1"/>
  <c r="CM125" i="34" s="1"/>
  <c r="BL125" i="34"/>
  <c r="BN125" i="34" s="1"/>
  <c r="BV125" i="34" s="1"/>
  <c r="AU125" i="34"/>
  <c r="AW125" i="34" s="1"/>
  <c r="BE125" i="34" s="1"/>
  <c r="AD125" i="34"/>
  <c r="AF125" i="34" s="1"/>
  <c r="AN125" i="34" s="1"/>
  <c r="M125" i="34"/>
  <c r="O125" i="34" s="1"/>
  <c r="CC122" i="34"/>
  <c r="CE122" i="34" s="1"/>
  <c r="CM122" i="34" s="1"/>
  <c r="BL122" i="34"/>
  <c r="BN122" i="34" s="1"/>
  <c r="BV122" i="34" s="1"/>
  <c r="AU122" i="34"/>
  <c r="AW122" i="34" s="1"/>
  <c r="BE122" i="34" s="1"/>
  <c r="AD122" i="34"/>
  <c r="AF122" i="34" s="1"/>
  <c r="AN122" i="34" s="1"/>
  <c r="M122" i="34"/>
  <c r="O122" i="34" s="1"/>
  <c r="CC121" i="34"/>
  <c r="CE121" i="34" s="1"/>
  <c r="CM121" i="34" s="1"/>
  <c r="BL121" i="34"/>
  <c r="BN121" i="34" s="1"/>
  <c r="BV121" i="34" s="1"/>
  <c r="AU121" i="34"/>
  <c r="AW121" i="34" s="1"/>
  <c r="BE121" i="34" s="1"/>
  <c r="AD121" i="34"/>
  <c r="AF121" i="34" s="1"/>
  <c r="AN121" i="34" s="1"/>
  <c r="M121" i="34"/>
  <c r="O121" i="34" s="1"/>
  <c r="M130" i="34"/>
  <c r="O130" i="34" s="1"/>
  <c r="AD130" i="34"/>
  <c r="AF130" i="34" s="1"/>
  <c r="AN130" i="34" s="1"/>
  <c r="AU130" i="34"/>
  <c r="AW130" i="34" s="1"/>
  <c r="BE130" i="34" s="1"/>
  <c r="BL130" i="34"/>
  <c r="BN130" i="34" s="1"/>
  <c r="BV130" i="34" s="1"/>
  <c r="CC130" i="34"/>
  <c r="CE130" i="34" s="1"/>
  <c r="CM130" i="34" s="1"/>
  <c r="CE64" i="34"/>
  <c r="CM64" i="34" s="1"/>
  <c r="BN64" i="34"/>
  <c r="BV64" i="34" s="1"/>
  <c r="AW64" i="34"/>
  <c r="BE64" i="34" s="1"/>
  <c r="AF64" i="34"/>
  <c r="AN64" i="34" s="1"/>
  <c r="O64" i="34"/>
  <c r="CE63" i="34"/>
  <c r="CM63" i="34" s="1"/>
  <c r="BN63" i="34"/>
  <c r="BV63" i="34" s="1"/>
  <c r="AW63" i="34"/>
  <c r="BE63" i="34" s="1"/>
  <c r="AF63" i="34"/>
  <c r="AN63" i="34" s="1"/>
  <c r="O63" i="34"/>
  <c r="CC62" i="34"/>
  <c r="CE62" i="34" s="1"/>
  <c r="CM62" i="34" s="1"/>
  <c r="BL62" i="34"/>
  <c r="BN62" i="34" s="1"/>
  <c r="BV62" i="34" s="1"/>
  <c r="AU62" i="34"/>
  <c r="AW62" i="34" s="1"/>
  <c r="BE62" i="34" s="1"/>
  <c r="AD62" i="34"/>
  <c r="AF62" i="34" s="1"/>
  <c r="AN62" i="34" s="1"/>
  <c r="M62" i="34"/>
  <c r="O62" i="34" s="1"/>
  <c r="CC61" i="34"/>
  <c r="CE61" i="34" s="1"/>
  <c r="CM61" i="34" s="1"/>
  <c r="BL61" i="34"/>
  <c r="BN61" i="34" s="1"/>
  <c r="BV61" i="34" s="1"/>
  <c r="AU61" i="34"/>
  <c r="AW61" i="34" s="1"/>
  <c r="BE61" i="34" s="1"/>
  <c r="AD61" i="34"/>
  <c r="AF61" i="34" s="1"/>
  <c r="AN61" i="34" s="1"/>
  <c r="M61" i="34"/>
  <c r="O61" i="34" s="1"/>
  <c r="CC60" i="34"/>
  <c r="CE60" i="34" s="1"/>
  <c r="CM60" i="34" s="1"/>
  <c r="BL60" i="34"/>
  <c r="BN60" i="34" s="1"/>
  <c r="BV60" i="34" s="1"/>
  <c r="AU60" i="34"/>
  <c r="AW60" i="34" s="1"/>
  <c r="BE60" i="34" s="1"/>
  <c r="AD60" i="34"/>
  <c r="AF60" i="34" s="1"/>
  <c r="AN60" i="34" s="1"/>
  <c r="M60" i="34"/>
  <c r="O60" i="34" s="1"/>
  <c r="CC58" i="34"/>
  <c r="CE58" i="34" s="1"/>
  <c r="CM58" i="34" s="1"/>
  <c r="BL58" i="34"/>
  <c r="BN58" i="34" s="1"/>
  <c r="BV58" i="34" s="1"/>
  <c r="AU58" i="34"/>
  <c r="AW58" i="34" s="1"/>
  <c r="BE58" i="34" s="1"/>
  <c r="AD58" i="34"/>
  <c r="AF58" i="34" s="1"/>
  <c r="AN58" i="34" s="1"/>
  <c r="M58" i="34"/>
  <c r="O58" i="34" s="1"/>
  <c r="CP64" i="34" l="1"/>
  <c r="W64" i="34"/>
  <c r="CR64" i="34" s="1"/>
  <c r="CP61" i="34"/>
  <c r="W61" i="34"/>
  <c r="CR61" i="34" s="1"/>
  <c r="CP130" i="34"/>
  <c r="W130" i="34"/>
  <c r="CR130" i="34" s="1"/>
  <c r="CP126" i="34"/>
  <c r="W126" i="34"/>
  <c r="CR126" i="34" s="1"/>
  <c r="CP60" i="34"/>
  <c r="W60" i="34"/>
  <c r="CR60" i="34" s="1"/>
  <c r="CP125" i="34"/>
  <c r="W125" i="34"/>
  <c r="CR125" i="34" s="1"/>
  <c r="CP62" i="34"/>
  <c r="W62" i="34"/>
  <c r="CR62" i="34" s="1"/>
  <c r="CP121" i="34"/>
  <c r="W121" i="34"/>
  <c r="CR121" i="34" s="1"/>
  <c r="CP127" i="34"/>
  <c r="W127" i="34"/>
  <c r="CR127" i="34" s="1"/>
  <c r="CP58" i="34"/>
  <c r="W58" i="34"/>
  <c r="CR58" i="34" s="1"/>
  <c r="CP63" i="34"/>
  <c r="W63" i="34"/>
  <c r="CR63" i="34" s="1"/>
  <c r="CP122" i="34"/>
  <c r="W122" i="34"/>
  <c r="CR122" i="34" s="1"/>
  <c r="CP128" i="34"/>
  <c r="W128" i="34"/>
  <c r="CR128" i="34" s="1"/>
  <c r="AN282" i="34"/>
  <c r="BV282" i="34"/>
  <c r="BE282" i="34"/>
  <c r="CM282" i="34"/>
  <c r="BV65" i="34"/>
  <c r="CM129" i="34"/>
  <c r="AN129" i="34"/>
  <c r="CM65" i="34"/>
  <c r="BE129" i="34"/>
  <c r="BE65" i="34"/>
  <c r="BV129" i="34"/>
  <c r="AF129" i="34"/>
  <c r="O129" i="34"/>
  <c r="AW129" i="34"/>
  <c r="AF65" i="34"/>
  <c r="O65" i="34"/>
  <c r="BN129" i="34"/>
  <c r="CE129" i="34"/>
  <c r="CE288" i="34"/>
  <c r="BN288" i="34"/>
  <c r="W254" i="34"/>
  <c r="AF254" i="34"/>
  <c r="AN254" i="34" s="1"/>
  <c r="AW254" i="34"/>
  <c r="BE254" i="34" s="1"/>
  <c r="BN254" i="34"/>
  <c r="BV254" i="34" s="1"/>
  <c r="CM254" i="34"/>
  <c r="CC207" i="34"/>
  <c r="CE207" i="34" s="1"/>
  <c r="CM207" i="34" s="1"/>
  <c r="BL207" i="34"/>
  <c r="BN207" i="34" s="1"/>
  <c r="BV207" i="34" s="1"/>
  <c r="AU207" i="34"/>
  <c r="AW207" i="34" s="1"/>
  <c r="BE207" i="34" s="1"/>
  <c r="AD207" i="34"/>
  <c r="AF207" i="34" s="1"/>
  <c r="AN207" i="34" s="1"/>
  <c r="M207" i="34"/>
  <c r="O207" i="34" s="1"/>
  <c r="CM255" i="34"/>
  <c r="CE249" i="34"/>
  <c r="CM249" i="34" s="1"/>
  <c r="CE248" i="34"/>
  <c r="CM248" i="34" s="1"/>
  <c r="CE247" i="34"/>
  <c r="CM247" i="34" s="1"/>
  <c r="BN255" i="34"/>
  <c r="BV255" i="34" s="1"/>
  <c r="BN249" i="34"/>
  <c r="BV249" i="34" s="1"/>
  <c r="BN248" i="34"/>
  <c r="BV248" i="34" s="1"/>
  <c r="BV247" i="34"/>
  <c r="AW255" i="34"/>
  <c r="BE255" i="34" s="1"/>
  <c r="AW249" i="34"/>
  <c r="BE249" i="34" s="1"/>
  <c r="AW248" i="34"/>
  <c r="BE248" i="34" s="1"/>
  <c r="AF255" i="34"/>
  <c r="AN255" i="34" s="1"/>
  <c r="AF249" i="34"/>
  <c r="AN249" i="34" s="1"/>
  <c r="AF248" i="34"/>
  <c r="AN248" i="34" s="1"/>
  <c r="AF247" i="34"/>
  <c r="AN247" i="34" s="1"/>
  <c r="W129" i="34" l="1"/>
  <c r="W282" i="34"/>
  <c r="W207" i="34"/>
  <c r="CR207" i="34" s="1"/>
  <c r="CP207" i="34"/>
  <c r="W65" i="34"/>
  <c r="AN65" i="34"/>
  <c r="CR65" i="34"/>
  <c r="CR254" i="34"/>
  <c r="CR129" i="34"/>
  <c r="CE65" i="34"/>
  <c r="CE282" i="34"/>
  <c r="AW65" i="34"/>
  <c r="AW282" i="34"/>
  <c r="AF282" i="34"/>
  <c r="O282" i="34"/>
  <c r="BN65" i="34"/>
  <c r="BN282" i="34"/>
  <c r="CP254" i="34"/>
  <c r="CR282" i="34" l="1"/>
  <c r="CE157" i="34"/>
  <c r="CM157" i="34" s="1"/>
  <c r="BN157" i="34"/>
  <c r="BV157" i="34" s="1"/>
  <c r="AW157" i="34"/>
  <c r="BE157" i="34" s="1"/>
  <c r="AF157" i="34"/>
  <c r="AN157" i="34" s="1"/>
  <c r="O157" i="34"/>
  <c r="CE174" i="34"/>
  <c r="CM174" i="34" s="1"/>
  <c r="BN174" i="34"/>
  <c r="BV174" i="34" s="1"/>
  <c r="AW174" i="34"/>
  <c r="BE174" i="34" s="1"/>
  <c r="AF174" i="34"/>
  <c r="AN174" i="34" s="1"/>
  <c r="O174" i="34"/>
  <c r="CE213" i="34"/>
  <c r="CM213" i="34" s="1"/>
  <c r="BN213" i="34"/>
  <c r="BV213" i="34" s="1"/>
  <c r="AW213" i="34"/>
  <c r="BE213" i="34" s="1"/>
  <c r="AF213" i="34"/>
  <c r="AN213" i="34" s="1"/>
  <c r="O213" i="34"/>
  <c r="CE198" i="34"/>
  <c r="CM198" i="34" s="1"/>
  <c r="BN198" i="34"/>
  <c r="BV198" i="34" s="1"/>
  <c r="AW198" i="34"/>
  <c r="BE198" i="34" s="1"/>
  <c r="AF198" i="34"/>
  <c r="AN198" i="34" s="1"/>
  <c r="O198" i="34"/>
  <c r="CE164" i="34"/>
  <c r="CM164" i="34" s="1"/>
  <c r="BN164" i="34"/>
  <c r="BV164" i="34" s="1"/>
  <c r="AW164" i="34"/>
  <c r="BE164" i="34" s="1"/>
  <c r="AF164" i="34"/>
  <c r="AN164" i="34" s="1"/>
  <c r="O164" i="34"/>
  <c r="CE191" i="34"/>
  <c r="CM191" i="34" s="1"/>
  <c r="BN191" i="34"/>
  <c r="BV191" i="34" s="1"/>
  <c r="AW191" i="34"/>
  <c r="BE191" i="34" s="1"/>
  <c r="AF191" i="34"/>
  <c r="AN191" i="34" s="1"/>
  <c r="O191" i="34"/>
  <c r="CE223" i="34"/>
  <c r="CM223" i="34" s="1"/>
  <c r="BN223" i="34"/>
  <c r="BV223" i="34" s="1"/>
  <c r="AW223" i="34"/>
  <c r="BE223" i="34" s="1"/>
  <c r="AF223" i="34"/>
  <c r="AN223" i="34" s="1"/>
  <c r="O223" i="34"/>
  <c r="CE56" i="34"/>
  <c r="CM56" i="34" s="1"/>
  <c r="BN56" i="34"/>
  <c r="BV56" i="34" s="1"/>
  <c r="AW56" i="34"/>
  <c r="BE56" i="34" s="1"/>
  <c r="AF56" i="34"/>
  <c r="AN56" i="34" s="1"/>
  <c r="O56" i="34"/>
  <c r="CE240" i="34"/>
  <c r="CM240" i="34" s="1"/>
  <c r="BN240" i="34"/>
  <c r="BV240" i="34" s="1"/>
  <c r="AW240" i="34"/>
  <c r="BE240" i="34" s="1"/>
  <c r="AF240" i="34"/>
  <c r="AN240" i="34" s="1"/>
  <c r="O240" i="34"/>
  <c r="CE23" i="34"/>
  <c r="CM23" i="34" s="1"/>
  <c r="BN23" i="34"/>
  <c r="BV23" i="34" s="1"/>
  <c r="AW23" i="34"/>
  <c r="BE23" i="34" s="1"/>
  <c r="AF23" i="34"/>
  <c r="AN23" i="34" s="1"/>
  <c r="O23" i="34"/>
  <c r="CE40" i="34"/>
  <c r="CM40" i="34" s="1"/>
  <c r="BN40" i="34"/>
  <c r="BV40" i="34" s="1"/>
  <c r="AW40" i="34"/>
  <c r="BE40" i="34" s="1"/>
  <c r="AF40" i="34"/>
  <c r="AN40" i="34" s="1"/>
  <c r="O40" i="34"/>
  <c r="CE119" i="34"/>
  <c r="CM119" i="34" s="1"/>
  <c r="BN119" i="34"/>
  <c r="BV119" i="34" s="1"/>
  <c r="AW119" i="34"/>
  <c r="BE119" i="34" s="1"/>
  <c r="AF119" i="34"/>
  <c r="AN119" i="34" s="1"/>
  <c r="O119" i="34"/>
  <c r="CC185" i="34"/>
  <c r="CE185" i="34" s="1"/>
  <c r="CM185" i="34" s="1"/>
  <c r="BL185" i="34"/>
  <c r="BN185" i="34" s="1"/>
  <c r="BV185" i="34" s="1"/>
  <c r="AU185" i="34"/>
  <c r="AW185" i="34" s="1"/>
  <c r="BE185" i="34" s="1"/>
  <c r="AD185" i="34"/>
  <c r="AF185" i="34" s="1"/>
  <c r="AN185" i="34" s="1"/>
  <c r="M185" i="34"/>
  <c r="O185" i="34" s="1"/>
  <c r="CC151" i="34"/>
  <c r="CE151" i="34" s="1"/>
  <c r="CM151" i="34" s="1"/>
  <c r="BL151" i="34"/>
  <c r="BN151" i="34" s="1"/>
  <c r="BV151" i="34" s="1"/>
  <c r="AU151" i="34"/>
  <c r="AW151" i="34" s="1"/>
  <c r="BE151" i="34" s="1"/>
  <c r="AD151" i="34"/>
  <c r="AF151" i="34" s="1"/>
  <c r="AN151" i="34" s="1"/>
  <c r="M151" i="34"/>
  <c r="O151" i="34" s="1"/>
  <c r="CC150" i="34"/>
  <c r="CE150" i="34" s="1"/>
  <c r="CM150" i="34" s="1"/>
  <c r="BL150" i="34"/>
  <c r="BN150" i="34" s="1"/>
  <c r="BV150" i="34" s="1"/>
  <c r="AU150" i="34"/>
  <c r="AW150" i="34" s="1"/>
  <c r="BE150" i="34" s="1"/>
  <c r="AD150" i="34"/>
  <c r="AF150" i="34" s="1"/>
  <c r="AN150" i="34" s="1"/>
  <c r="M150" i="34"/>
  <c r="O150" i="34" s="1"/>
  <c r="CC143" i="34"/>
  <c r="CE143" i="34" s="1"/>
  <c r="CM143" i="34" s="1"/>
  <c r="BL143" i="34"/>
  <c r="BN143" i="34" s="1"/>
  <c r="BV143" i="34" s="1"/>
  <c r="AU143" i="34"/>
  <c r="AW143" i="34" s="1"/>
  <c r="BE143" i="34" s="1"/>
  <c r="AD143" i="34"/>
  <c r="AF143" i="34" s="1"/>
  <c r="AN143" i="34" s="1"/>
  <c r="M143" i="34"/>
  <c r="O143" i="34" s="1"/>
  <c r="CC142" i="34"/>
  <c r="CE142" i="34" s="1"/>
  <c r="CM142" i="34" s="1"/>
  <c r="BL142" i="34"/>
  <c r="BN142" i="34" s="1"/>
  <c r="BV142" i="34" s="1"/>
  <c r="AU142" i="34"/>
  <c r="AW142" i="34" s="1"/>
  <c r="BE142" i="34" s="1"/>
  <c r="AD142" i="34"/>
  <c r="AF142" i="34" s="1"/>
  <c r="AN142" i="34" s="1"/>
  <c r="M142" i="34"/>
  <c r="O142" i="34" s="1"/>
  <c r="CC141" i="34"/>
  <c r="CE141" i="34" s="1"/>
  <c r="CM141" i="34" s="1"/>
  <c r="BL141" i="34"/>
  <c r="BN141" i="34" s="1"/>
  <c r="BV141" i="34" s="1"/>
  <c r="AU141" i="34"/>
  <c r="AW141" i="34" s="1"/>
  <c r="BE141" i="34" s="1"/>
  <c r="AD141" i="34"/>
  <c r="AF141" i="34" s="1"/>
  <c r="AN141" i="34" s="1"/>
  <c r="M141" i="34"/>
  <c r="O141" i="34" s="1"/>
  <c r="CC138" i="34"/>
  <c r="CE138" i="34" s="1"/>
  <c r="CM138" i="34" s="1"/>
  <c r="BL138" i="34"/>
  <c r="BN138" i="34" s="1"/>
  <c r="BV138" i="34" s="1"/>
  <c r="AU138" i="34"/>
  <c r="AW138" i="34" s="1"/>
  <c r="BE138" i="34" s="1"/>
  <c r="AD138" i="34"/>
  <c r="AF138" i="34" s="1"/>
  <c r="AN138" i="34" s="1"/>
  <c r="M138" i="34"/>
  <c r="O138" i="34" s="1"/>
  <c r="CC135" i="34"/>
  <c r="CE135" i="34" s="1"/>
  <c r="CM135" i="34" s="1"/>
  <c r="BL135" i="34"/>
  <c r="BN135" i="34" s="1"/>
  <c r="BV135" i="34" s="1"/>
  <c r="AU135" i="34"/>
  <c r="AW135" i="34" s="1"/>
  <c r="BE135" i="34" s="1"/>
  <c r="AD135" i="34"/>
  <c r="AF135" i="34" s="1"/>
  <c r="AN135" i="34" s="1"/>
  <c r="M135" i="34"/>
  <c r="O135" i="34" s="1"/>
  <c r="CC111" i="34"/>
  <c r="CE111" i="34" s="1"/>
  <c r="CM111" i="34" s="1"/>
  <c r="BL111" i="34"/>
  <c r="BN111" i="34" s="1"/>
  <c r="BV111" i="34" s="1"/>
  <c r="AU111" i="34"/>
  <c r="AW111" i="34" s="1"/>
  <c r="BE111" i="34" s="1"/>
  <c r="AD111" i="34"/>
  <c r="AF111" i="34" s="1"/>
  <c r="AN111" i="34" s="1"/>
  <c r="M111" i="34"/>
  <c r="O111" i="34" s="1"/>
  <c r="CC102" i="34"/>
  <c r="CE102" i="34" s="1"/>
  <c r="CM102" i="34" s="1"/>
  <c r="BL102" i="34"/>
  <c r="BN102" i="34" s="1"/>
  <c r="BV102" i="34" s="1"/>
  <c r="AU102" i="34"/>
  <c r="AW102" i="34" s="1"/>
  <c r="BE102" i="34" s="1"/>
  <c r="AD102" i="34"/>
  <c r="AF102" i="34" s="1"/>
  <c r="AN102" i="34" s="1"/>
  <c r="M102" i="34"/>
  <c r="O102" i="34" s="1"/>
  <c r="BN98" i="34"/>
  <c r="BV98" i="34" s="1"/>
  <c r="AW98" i="34"/>
  <c r="BE98" i="34" s="1"/>
  <c r="AF98" i="34"/>
  <c r="AN98" i="34" s="1"/>
  <c r="O98" i="34"/>
  <c r="CE98" i="34"/>
  <c r="CM98" i="34" s="1"/>
  <c r="CC89" i="34"/>
  <c r="CE89" i="34" s="1"/>
  <c r="CM89" i="34" s="1"/>
  <c r="BL89" i="34"/>
  <c r="BN89" i="34" s="1"/>
  <c r="BV89" i="34" s="1"/>
  <c r="AU89" i="34"/>
  <c r="AW89" i="34" s="1"/>
  <c r="BE89" i="34" s="1"/>
  <c r="CC83" i="34"/>
  <c r="CE83" i="34" s="1"/>
  <c r="CM83" i="34" s="1"/>
  <c r="BL83" i="34"/>
  <c r="BN83" i="34" s="1"/>
  <c r="BV83" i="34" s="1"/>
  <c r="AU83" i="34"/>
  <c r="AW83" i="34" s="1"/>
  <c r="BE83" i="34" s="1"/>
  <c r="CC82" i="34"/>
  <c r="CE82" i="34" s="1"/>
  <c r="CM82" i="34" s="1"/>
  <c r="BL82" i="34"/>
  <c r="BN82" i="34" s="1"/>
  <c r="BV82" i="34" s="1"/>
  <c r="AU82" i="34"/>
  <c r="AW82" i="34" s="1"/>
  <c r="BE82" i="34" s="1"/>
  <c r="CC79" i="34"/>
  <c r="CE79" i="34" s="1"/>
  <c r="CM79" i="34" s="1"/>
  <c r="BL79" i="34"/>
  <c r="BN79" i="34" s="1"/>
  <c r="BV79" i="34" s="1"/>
  <c r="AU79" i="34"/>
  <c r="AW79" i="34" s="1"/>
  <c r="BE79" i="34" s="1"/>
  <c r="CC78" i="34"/>
  <c r="CE78" i="34" s="1"/>
  <c r="CM78" i="34" s="1"/>
  <c r="BL78" i="34"/>
  <c r="BN78" i="34" s="1"/>
  <c r="BV78" i="34" s="1"/>
  <c r="AU78" i="34"/>
  <c r="AW78" i="34" s="1"/>
  <c r="BE78" i="34" s="1"/>
  <c r="CC76" i="34"/>
  <c r="CE76" i="34" s="1"/>
  <c r="CM76" i="34" s="1"/>
  <c r="BL76" i="34"/>
  <c r="BN76" i="34" s="1"/>
  <c r="BV76" i="34" s="1"/>
  <c r="AU76" i="34"/>
  <c r="AW76" i="34" s="1"/>
  <c r="BE76" i="34" s="1"/>
  <c r="AD89" i="34"/>
  <c r="AF89" i="34" s="1"/>
  <c r="AN89" i="34" s="1"/>
  <c r="AD83" i="34"/>
  <c r="AF83" i="34" s="1"/>
  <c r="AN83" i="34" s="1"/>
  <c r="AD82" i="34"/>
  <c r="AF82" i="34" s="1"/>
  <c r="AN82" i="34" s="1"/>
  <c r="AD79" i="34"/>
  <c r="AF79" i="34" s="1"/>
  <c r="AN79" i="34" s="1"/>
  <c r="AD78" i="34"/>
  <c r="AF78" i="34" s="1"/>
  <c r="AN78" i="34" s="1"/>
  <c r="AD76" i="34"/>
  <c r="AF76" i="34" s="1"/>
  <c r="AN76" i="34" s="1"/>
  <c r="M89" i="34"/>
  <c r="O89" i="34" s="1"/>
  <c r="M83" i="34"/>
  <c r="O83" i="34" s="1"/>
  <c r="M82" i="34"/>
  <c r="O82" i="34" s="1"/>
  <c r="M79" i="34"/>
  <c r="O79" i="34" s="1"/>
  <c r="M78" i="34"/>
  <c r="O78" i="34" s="1"/>
  <c r="M76" i="34"/>
  <c r="O76" i="34" s="1"/>
  <c r="CP150" i="34" l="1"/>
  <c r="W150" i="34"/>
  <c r="CR150" i="34" s="1"/>
  <c r="W213" i="34"/>
  <c r="CR213" i="34" s="1"/>
  <c r="CP213" i="34"/>
  <c r="CP82" i="34"/>
  <c r="W82" i="34"/>
  <c r="CR82" i="34" s="1"/>
  <c r="CP98" i="34"/>
  <c r="W98" i="34"/>
  <c r="CR98" i="34" s="1"/>
  <c r="CP102" i="34"/>
  <c r="W102" i="34"/>
  <c r="CR102" i="34" s="1"/>
  <c r="CP141" i="34"/>
  <c r="W141" i="34"/>
  <c r="CR141" i="34" s="1"/>
  <c r="CP151" i="34"/>
  <c r="W151" i="34"/>
  <c r="CR151" i="34" s="1"/>
  <c r="CP23" i="34"/>
  <c r="W23" i="34"/>
  <c r="CR23" i="34" s="1"/>
  <c r="W191" i="34"/>
  <c r="CR191" i="34" s="1"/>
  <c r="CP191" i="34"/>
  <c r="CP174" i="34"/>
  <c r="W174" i="34"/>
  <c r="CR174" i="34" s="1"/>
  <c r="CP79" i="34"/>
  <c r="W79" i="34"/>
  <c r="CR79" i="34" s="1"/>
  <c r="CP40" i="34"/>
  <c r="W40" i="34"/>
  <c r="CR40" i="34" s="1"/>
  <c r="W223" i="34"/>
  <c r="CR223" i="34" s="1"/>
  <c r="CP223" i="34"/>
  <c r="CP76" i="34"/>
  <c r="W76" i="34"/>
  <c r="CR76" i="34" s="1"/>
  <c r="CP83" i="34"/>
  <c r="W83" i="34"/>
  <c r="CR83" i="34" s="1"/>
  <c r="CP111" i="34"/>
  <c r="W111" i="34"/>
  <c r="CR111" i="34" s="1"/>
  <c r="CP142" i="34"/>
  <c r="W142" i="34"/>
  <c r="CR142" i="34" s="1"/>
  <c r="W185" i="34"/>
  <c r="CR185" i="34" s="1"/>
  <c r="CP185" i="34"/>
  <c r="W240" i="34"/>
  <c r="CR240" i="34" s="1"/>
  <c r="CP240" i="34"/>
  <c r="CP164" i="34"/>
  <c r="W164" i="34"/>
  <c r="CR164" i="34" s="1"/>
  <c r="CP157" i="34"/>
  <c r="W157" i="34"/>
  <c r="CR157" i="34" s="1"/>
  <c r="CP138" i="34"/>
  <c r="W138" i="34"/>
  <c r="CR138" i="34" s="1"/>
  <c r="CP78" i="34"/>
  <c r="W78" i="34"/>
  <c r="CR78" i="34" s="1"/>
  <c r="CP89" i="34"/>
  <c r="W89" i="34"/>
  <c r="CR89" i="34" s="1"/>
  <c r="CP135" i="34"/>
  <c r="W135" i="34"/>
  <c r="CR135" i="34" s="1"/>
  <c r="CP143" i="34"/>
  <c r="W143" i="34"/>
  <c r="CR143" i="34" s="1"/>
  <c r="CP119" i="34"/>
  <c r="W119" i="34"/>
  <c r="CR119" i="34" s="1"/>
  <c r="CP56" i="34"/>
  <c r="W56" i="34"/>
  <c r="CR56" i="34" s="1"/>
  <c r="W198" i="34"/>
  <c r="CR198" i="34" s="1"/>
  <c r="CP198" i="34"/>
  <c r="O39" i="34"/>
  <c r="O22" i="34"/>
  <c r="O239" i="34"/>
  <c r="O55" i="34"/>
  <c r="O222" i="34"/>
  <c r="O190" i="34"/>
  <c r="O163" i="34"/>
  <c r="W55" i="34" l="1"/>
  <c r="W163" i="34"/>
  <c r="W239" i="34"/>
  <c r="W190" i="34"/>
  <c r="W22" i="34"/>
  <c r="W222" i="34"/>
  <c r="W39" i="34"/>
  <c r="CB6" i="34"/>
  <c r="CA6" i="34"/>
  <c r="BZ6" i="34"/>
  <c r="BY6" i="34"/>
  <c r="BX6" i="34"/>
  <c r="BK6" i="34"/>
  <c r="BJ6" i="34"/>
  <c r="BI6" i="34"/>
  <c r="BH6" i="34"/>
  <c r="AT6" i="34"/>
  <c r="AS6" i="34"/>
  <c r="AR6" i="34"/>
  <c r="AQ6" i="34"/>
  <c r="CT13" i="34" s="1"/>
  <c r="AP6" i="34"/>
  <c r="AC6" i="34"/>
  <c r="AB6" i="34"/>
  <c r="AA6" i="34"/>
  <c r="Z6" i="34"/>
  <c r="L6" i="34"/>
  <c r="K6" i="34"/>
  <c r="J6" i="34"/>
  <c r="I6" i="34"/>
  <c r="H6" i="34"/>
  <c r="CC246" i="34"/>
  <c r="CE246" i="34" s="1"/>
  <c r="CM246" i="34" s="1"/>
  <c r="CC245" i="34"/>
  <c r="CE245" i="34" s="1"/>
  <c r="CM245" i="34" s="1"/>
  <c r="CC244" i="34"/>
  <c r="CE244" i="34" s="1"/>
  <c r="CM244" i="34" s="1"/>
  <c r="CC243" i="34"/>
  <c r="CE243" i="34" s="1"/>
  <c r="BL246" i="34"/>
  <c r="BL245" i="34"/>
  <c r="BL244" i="34"/>
  <c r="BL243" i="34"/>
  <c r="BN243" i="34" s="1"/>
  <c r="AU246" i="34"/>
  <c r="AW246" i="34" s="1"/>
  <c r="BE246" i="34" s="1"/>
  <c r="AU245" i="34"/>
  <c r="AW245" i="34" s="1"/>
  <c r="BE245" i="34" s="1"/>
  <c r="AU244" i="34"/>
  <c r="AW244" i="34" s="1"/>
  <c r="BE244" i="34" s="1"/>
  <c r="AU243" i="34"/>
  <c r="AW243" i="34" s="1"/>
  <c r="AD246" i="34"/>
  <c r="AF246" i="34" s="1"/>
  <c r="AN246" i="34" s="1"/>
  <c r="AD245" i="34"/>
  <c r="AF245" i="34" s="1"/>
  <c r="AN245" i="34" s="1"/>
  <c r="AD244" i="34"/>
  <c r="AF244" i="34" s="1"/>
  <c r="AN244" i="34" s="1"/>
  <c r="AD243" i="34"/>
  <c r="AF243" i="34" s="1"/>
  <c r="O255" i="34"/>
  <c r="O249" i="34"/>
  <c r="W249" i="34" s="1"/>
  <c r="CR249" i="34" s="1"/>
  <c r="O248" i="34"/>
  <c r="W248" i="34" s="1"/>
  <c r="CR248" i="34" s="1"/>
  <c r="O247" i="34"/>
  <c r="W247" i="34" s="1"/>
  <c r="CR247" i="34" s="1"/>
  <c r="CE39" i="34"/>
  <c r="CM39" i="34" s="1"/>
  <c r="CC38" i="34"/>
  <c r="CC37" i="34"/>
  <c r="CC36" i="34"/>
  <c r="CC35" i="34"/>
  <c r="CC34" i="34"/>
  <c r="CC33" i="34"/>
  <c r="CC31" i="34"/>
  <c r="CC30" i="34"/>
  <c r="CC29" i="34"/>
  <c r="CC28" i="34"/>
  <c r="CE28" i="34" s="1"/>
  <c r="CM28" i="34" s="1"/>
  <c r="CC27" i="34"/>
  <c r="CC26" i="34"/>
  <c r="CC25" i="34"/>
  <c r="CE22" i="34"/>
  <c r="CM22" i="34" s="1"/>
  <c r="CC21" i="34"/>
  <c r="CC20" i="34"/>
  <c r="CC19" i="34"/>
  <c r="CC18" i="34"/>
  <c r="CC17" i="34"/>
  <c r="CC16" i="34"/>
  <c r="CC15" i="34"/>
  <c r="CC14" i="34"/>
  <c r="CE14" i="34" s="1"/>
  <c r="CM14" i="34" s="1"/>
  <c r="CC13" i="34"/>
  <c r="CC12" i="34"/>
  <c r="CC11" i="34"/>
  <c r="CC10" i="34"/>
  <c r="CC9" i="34"/>
  <c r="CC8" i="34"/>
  <c r="CC7" i="34"/>
  <c r="CE239" i="34"/>
  <c r="CM239" i="34" s="1"/>
  <c r="CC238" i="34"/>
  <c r="CE238" i="34" s="1"/>
  <c r="CM238" i="34" s="1"/>
  <c r="CC237" i="34"/>
  <c r="CE237" i="34" s="1"/>
  <c r="CM237" i="34" s="1"/>
  <c r="CC236" i="34"/>
  <c r="CC235" i="34"/>
  <c r="CC234" i="34"/>
  <c r="CC233" i="34"/>
  <c r="CC232" i="34"/>
  <c r="CC231" i="34"/>
  <c r="CC230" i="34"/>
  <c r="CE230" i="34" s="1"/>
  <c r="CM230" i="34" s="1"/>
  <c r="CC229" i="34"/>
  <c r="CE229" i="34" s="1"/>
  <c r="CM229" i="34" s="1"/>
  <c r="CC228" i="34"/>
  <c r="CC227" i="34"/>
  <c r="CC226" i="34"/>
  <c r="CC225" i="34"/>
  <c r="CE55" i="34"/>
  <c r="CM55" i="34" s="1"/>
  <c r="CC54" i="34"/>
  <c r="CC53" i="34"/>
  <c r="CC52" i="34"/>
  <c r="CE51" i="34"/>
  <c r="CM51" i="34" s="1"/>
  <c r="CC50" i="34"/>
  <c r="CC49" i="34"/>
  <c r="CC48" i="34"/>
  <c r="CC47" i="34"/>
  <c r="CE46" i="34"/>
  <c r="CM46" i="34" s="1"/>
  <c r="CC45" i="34"/>
  <c r="CE44" i="34"/>
  <c r="CM44" i="34" s="1"/>
  <c r="CC43" i="34"/>
  <c r="CC42" i="34"/>
  <c r="CE222" i="34"/>
  <c r="CM222" i="34" s="1"/>
  <c r="CC221" i="34"/>
  <c r="CC220" i="34"/>
  <c r="CC219" i="34"/>
  <c r="CC218" i="34"/>
  <c r="CC215" i="34"/>
  <c r="CE190" i="34"/>
  <c r="CM190" i="34" s="1"/>
  <c r="CC189" i="34"/>
  <c r="CC188" i="34"/>
  <c r="CC187" i="34"/>
  <c r="CC186" i="34"/>
  <c r="CC184" i="34"/>
  <c r="CC183" i="34"/>
  <c r="CC182" i="34"/>
  <c r="CC180" i="34"/>
  <c r="CC179" i="34"/>
  <c r="CC178" i="34"/>
  <c r="CC177" i="34"/>
  <c r="CC176" i="34"/>
  <c r="CE163" i="34"/>
  <c r="CM163" i="34" s="1"/>
  <c r="CC162" i="34"/>
  <c r="CC161" i="34"/>
  <c r="CC160" i="34"/>
  <c r="CC159" i="34"/>
  <c r="CE197" i="34"/>
  <c r="CM197" i="34" s="1"/>
  <c r="CC196" i="34"/>
  <c r="CC195" i="34"/>
  <c r="CC194" i="34"/>
  <c r="CC193" i="34"/>
  <c r="CE212" i="34"/>
  <c r="CM212" i="34" s="1"/>
  <c r="CC211" i="34"/>
  <c r="CC210" i="34"/>
  <c r="CC209" i="34"/>
  <c r="CC208" i="34"/>
  <c r="CC206" i="34"/>
  <c r="CC205" i="34"/>
  <c r="CC204" i="34"/>
  <c r="CC203" i="34"/>
  <c r="CC202" i="34"/>
  <c r="CC201" i="34"/>
  <c r="CC200" i="34"/>
  <c r="CE173" i="34"/>
  <c r="CM173" i="34" s="1"/>
  <c r="CC172" i="34"/>
  <c r="CC171" i="34"/>
  <c r="CE170" i="34"/>
  <c r="CM170" i="34" s="1"/>
  <c r="CC169" i="34"/>
  <c r="CC168" i="34"/>
  <c r="CC167" i="34"/>
  <c r="CC166" i="34"/>
  <c r="CE156" i="34"/>
  <c r="CM156" i="34" s="1"/>
  <c r="CC155" i="34"/>
  <c r="CC154" i="34"/>
  <c r="CC153" i="34"/>
  <c r="CC152" i="34"/>
  <c r="CC149" i="34"/>
  <c r="CC148" i="34"/>
  <c r="CC147" i="34"/>
  <c r="CC146" i="34"/>
  <c r="CC145" i="34"/>
  <c r="CC144" i="34"/>
  <c r="CC140" i="34"/>
  <c r="CC139" i="34"/>
  <c r="CC137" i="34"/>
  <c r="CC136" i="34"/>
  <c r="CC134" i="34"/>
  <c r="CC133" i="34"/>
  <c r="CC132" i="34"/>
  <c r="CC131" i="34"/>
  <c r="CE118" i="34"/>
  <c r="CM118" i="34" s="1"/>
  <c r="CC117" i="34"/>
  <c r="CC116" i="34"/>
  <c r="CC115" i="34"/>
  <c r="CC114" i="34"/>
  <c r="CC113" i="34"/>
  <c r="CC112" i="34"/>
  <c r="CC110" i="34"/>
  <c r="CC109" i="34"/>
  <c r="CC108" i="34"/>
  <c r="CC107" i="34"/>
  <c r="CC106" i="34"/>
  <c r="CC105" i="34"/>
  <c r="CC104" i="34"/>
  <c r="CC103" i="34"/>
  <c r="CC101" i="34"/>
  <c r="CC100" i="34"/>
  <c r="CE97" i="34"/>
  <c r="CM97" i="34" s="1"/>
  <c r="CC96" i="34"/>
  <c r="CC95" i="34"/>
  <c r="CC94" i="34"/>
  <c r="CC93" i="34"/>
  <c r="CC92" i="34"/>
  <c r="CC91" i="34"/>
  <c r="CC90" i="34"/>
  <c r="CC88" i="34"/>
  <c r="CC87" i="34"/>
  <c r="CC86" i="34"/>
  <c r="CC85" i="34"/>
  <c r="CE85" i="34" s="1"/>
  <c r="CM85" i="34" s="1"/>
  <c r="CC84" i="34"/>
  <c r="CC81" i="34"/>
  <c r="CC80" i="34"/>
  <c r="CC77" i="34"/>
  <c r="CC75" i="34"/>
  <c r="CC74" i="34"/>
  <c r="CC73" i="34"/>
  <c r="CC72" i="34"/>
  <c r="CC71" i="34"/>
  <c r="CE71" i="34" s="1"/>
  <c r="CM71" i="34" s="1"/>
  <c r="CC70" i="34"/>
  <c r="CC69" i="34"/>
  <c r="CC68" i="34"/>
  <c r="CC66" i="34"/>
  <c r="BN39" i="34"/>
  <c r="BV39" i="34" s="1"/>
  <c r="BL38" i="34"/>
  <c r="BL37" i="34"/>
  <c r="BL36" i="34"/>
  <c r="BL35" i="34"/>
  <c r="BL34" i="34"/>
  <c r="BN34" i="34" s="1"/>
  <c r="BV34" i="34" s="1"/>
  <c r="BL33" i="34"/>
  <c r="BL31" i="34"/>
  <c r="BL30" i="34"/>
  <c r="BL29" i="34"/>
  <c r="BL28" i="34"/>
  <c r="BL27" i="34"/>
  <c r="BL26" i="34"/>
  <c r="BL25" i="34"/>
  <c r="BN25" i="34" s="1"/>
  <c r="BV25" i="34" s="1"/>
  <c r="BN22" i="34"/>
  <c r="BV22" i="34" s="1"/>
  <c r="BL21" i="34"/>
  <c r="BN21" i="34" s="1"/>
  <c r="BV21" i="34" s="1"/>
  <c r="BL20" i="34"/>
  <c r="BL19" i="34"/>
  <c r="BL18" i="34"/>
  <c r="BL17" i="34"/>
  <c r="BN17" i="34" s="1"/>
  <c r="BV17" i="34" s="1"/>
  <c r="BL16" i="34"/>
  <c r="BL15" i="34"/>
  <c r="BL14" i="34"/>
  <c r="BL13" i="34"/>
  <c r="BL12" i="34"/>
  <c r="BL11" i="34"/>
  <c r="BL10" i="34"/>
  <c r="BL9" i="34"/>
  <c r="BL8" i="34"/>
  <c r="BL7" i="34"/>
  <c r="BN239" i="34"/>
  <c r="BV239" i="34" s="1"/>
  <c r="BL238" i="34"/>
  <c r="BN238" i="34" s="1"/>
  <c r="BV238" i="34" s="1"/>
  <c r="BL237" i="34"/>
  <c r="BL236" i="34"/>
  <c r="BL235" i="34"/>
  <c r="BL234" i="34"/>
  <c r="BL233" i="34"/>
  <c r="BL232" i="34"/>
  <c r="BL231" i="34"/>
  <c r="BL230" i="34"/>
  <c r="BN230" i="34" s="1"/>
  <c r="BV230" i="34" s="1"/>
  <c r="BL229" i="34"/>
  <c r="BL228" i="34"/>
  <c r="BL227" i="34"/>
  <c r="BL226" i="34"/>
  <c r="BL225" i="34"/>
  <c r="BN55" i="34"/>
  <c r="BV55" i="34" s="1"/>
  <c r="BL54" i="34"/>
  <c r="BL53" i="34"/>
  <c r="BL52" i="34"/>
  <c r="BN51" i="34"/>
  <c r="BV51" i="34" s="1"/>
  <c r="BL50" i="34"/>
  <c r="BL49" i="34"/>
  <c r="BL48" i="34"/>
  <c r="BL47" i="34"/>
  <c r="BN47" i="34" s="1"/>
  <c r="BV47" i="34" s="1"/>
  <c r="BN46" i="34"/>
  <c r="BV46" i="34" s="1"/>
  <c r="BL45" i="34"/>
  <c r="BN44" i="34"/>
  <c r="BV44" i="34" s="1"/>
  <c r="BL43" i="34"/>
  <c r="BL42" i="34"/>
  <c r="BN222" i="34"/>
  <c r="BV222" i="34" s="1"/>
  <c r="BL221" i="34"/>
  <c r="BL220" i="34"/>
  <c r="BL219" i="34"/>
  <c r="BN219" i="34" s="1"/>
  <c r="BV219" i="34" s="1"/>
  <c r="BL218" i="34"/>
  <c r="BL215" i="34"/>
  <c r="BN190" i="34"/>
  <c r="BV190" i="34" s="1"/>
  <c r="BL189" i="34"/>
  <c r="BN189" i="34" s="1"/>
  <c r="BV189" i="34" s="1"/>
  <c r="BL188" i="34"/>
  <c r="BL187" i="34"/>
  <c r="BL186" i="34"/>
  <c r="BL184" i="34"/>
  <c r="BL183" i="34"/>
  <c r="BN183" i="34" s="1"/>
  <c r="BV183" i="34" s="1"/>
  <c r="BL182" i="34"/>
  <c r="BL180" i="34"/>
  <c r="BL179" i="34"/>
  <c r="BL178" i="34"/>
  <c r="BN178" i="34" s="1"/>
  <c r="BV178" i="34" s="1"/>
  <c r="BL177" i="34"/>
  <c r="BL176" i="34"/>
  <c r="BN163" i="34"/>
  <c r="BV163" i="34" s="1"/>
  <c r="BL162" i="34"/>
  <c r="BL161" i="34"/>
  <c r="BL160" i="34"/>
  <c r="BL159" i="34"/>
  <c r="BN197" i="34"/>
  <c r="BV197" i="34" s="1"/>
  <c r="BL196" i="34"/>
  <c r="BL195" i="34"/>
  <c r="BL194" i="34"/>
  <c r="BN194" i="34" s="1"/>
  <c r="BV194" i="34" s="1"/>
  <c r="BL193" i="34"/>
  <c r="BN212" i="34"/>
  <c r="BV212" i="34" s="1"/>
  <c r="BL211" i="34"/>
  <c r="BL210" i="34"/>
  <c r="BL209" i="34"/>
  <c r="BL208" i="34"/>
  <c r="BL206" i="34"/>
  <c r="BL205" i="34"/>
  <c r="BL204" i="34"/>
  <c r="BL203" i="34"/>
  <c r="BL202" i="34"/>
  <c r="BL201" i="34"/>
  <c r="BL200" i="34"/>
  <c r="BN173" i="34"/>
  <c r="BV173" i="34" s="1"/>
  <c r="BL172" i="34"/>
  <c r="BN172" i="34" s="1"/>
  <c r="BV172" i="34" s="1"/>
  <c r="BL171" i="34"/>
  <c r="BN170" i="34"/>
  <c r="BV170" i="34" s="1"/>
  <c r="BL169" i="34"/>
  <c r="BL168" i="34"/>
  <c r="BL167" i="34"/>
  <c r="BL166" i="34"/>
  <c r="BN156" i="34"/>
  <c r="BV156" i="34" s="1"/>
  <c r="BL155" i="34"/>
  <c r="BL154" i="34"/>
  <c r="BL153" i="34"/>
  <c r="BL152" i="34"/>
  <c r="BL149" i="34"/>
  <c r="BL148" i="34"/>
  <c r="BL147" i="34"/>
  <c r="BL146" i="34"/>
  <c r="BL145" i="34"/>
  <c r="BL144" i="34"/>
  <c r="BL140" i="34"/>
  <c r="BL139" i="34"/>
  <c r="BL137" i="34"/>
  <c r="BL136" i="34"/>
  <c r="BL134" i="34"/>
  <c r="BL133" i="34"/>
  <c r="BL132" i="34"/>
  <c r="BL131" i="34"/>
  <c r="BN118" i="34"/>
  <c r="BV118" i="34" s="1"/>
  <c r="BL117" i="34"/>
  <c r="BL116" i="34"/>
  <c r="BL115" i="34"/>
  <c r="BL114" i="34"/>
  <c r="BL113" i="34"/>
  <c r="BL112" i="34"/>
  <c r="BL110" i="34"/>
  <c r="BL109" i="34"/>
  <c r="BL108" i="34"/>
  <c r="BL107" i="34"/>
  <c r="BL106" i="34"/>
  <c r="BL105" i="34"/>
  <c r="BL104" i="34"/>
  <c r="BL103" i="34"/>
  <c r="BL101" i="34"/>
  <c r="BL100" i="34"/>
  <c r="BN97" i="34"/>
  <c r="BV97" i="34" s="1"/>
  <c r="BL96" i="34"/>
  <c r="BL95" i="34"/>
  <c r="BL94" i="34"/>
  <c r="BN94" i="34" s="1"/>
  <c r="BV94" i="34" s="1"/>
  <c r="BL93" i="34"/>
  <c r="BL92" i="34"/>
  <c r="BL91" i="34"/>
  <c r="BL90" i="34"/>
  <c r="BL88" i="34"/>
  <c r="BL87" i="34"/>
  <c r="BL86" i="34"/>
  <c r="BL85" i="34"/>
  <c r="BL84" i="34"/>
  <c r="BL81" i="34"/>
  <c r="BL80" i="34"/>
  <c r="BN80" i="34" s="1"/>
  <c r="BV80" i="34" s="1"/>
  <c r="BL77" i="34"/>
  <c r="BL75" i="34"/>
  <c r="BL74" i="34"/>
  <c r="BL73" i="34"/>
  <c r="BL72" i="34"/>
  <c r="BL71" i="34"/>
  <c r="BL70" i="34"/>
  <c r="BL69" i="34"/>
  <c r="BL68" i="34"/>
  <c r="BL66" i="34"/>
  <c r="BN66" i="34" s="1"/>
  <c r="BV66" i="34" s="1"/>
  <c r="AW39" i="34"/>
  <c r="BE39" i="34" s="1"/>
  <c r="AU38" i="34"/>
  <c r="AW38" i="34" s="1"/>
  <c r="BE38" i="34" s="1"/>
  <c r="AU37" i="34"/>
  <c r="AU36" i="34"/>
  <c r="AU35" i="34"/>
  <c r="AU34" i="34"/>
  <c r="AW34" i="34" s="1"/>
  <c r="BE34" i="34" s="1"/>
  <c r="AU33" i="34"/>
  <c r="AU31" i="34"/>
  <c r="AU30" i="34"/>
  <c r="AU29" i="34"/>
  <c r="AU28" i="34"/>
  <c r="AU27" i="34"/>
  <c r="AU26" i="34"/>
  <c r="AU25" i="34"/>
  <c r="AW25" i="34" s="1"/>
  <c r="BE25" i="34" s="1"/>
  <c r="AW22" i="34"/>
  <c r="BE22" i="34" s="1"/>
  <c r="AU21" i="34"/>
  <c r="AU20" i="34"/>
  <c r="AU19" i="34"/>
  <c r="AU18" i="34"/>
  <c r="AW18" i="34" s="1"/>
  <c r="BE18" i="34" s="1"/>
  <c r="AU17" i="34"/>
  <c r="AU16" i="34"/>
  <c r="AU15" i="34"/>
  <c r="AU14" i="34"/>
  <c r="AU13" i="34"/>
  <c r="AU12" i="34"/>
  <c r="AU11" i="34"/>
  <c r="AW11" i="34" s="1"/>
  <c r="BE11" i="34" s="1"/>
  <c r="AU10" i="34"/>
  <c r="AU9" i="34"/>
  <c r="AU8" i="34"/>
  <c r="AU7" i="34"/>
  <c r="AW239" i="34"/>
  <c r="BE239" i="34" s="1"/>
  <c r="AU238" i="34"/>
  <c r="AU237" i="34"/>
  <c r="AU236" i="34"/>
  <c r="AU235" i="34"/>
  <c r="AU234" i="34"/>
  <c r="AU233" i="34"/>
  <c r="AW233" i="34" s="1"/>
  <c r="BE233" i="34" s="1"/>
  <c r="AU232" i="34"/>
  <c r="AU231" i="34"/>
  <c r="AU230" i="34"/>
  <c r="AW230" i="34" s="1"/>
  <c r="BE230" i="34" s="1"/>
  <c r="AU229" i="34"/>
  <c r="AU228" i="34"/>
  <c r="AU227" i="34"/>
  <c r="AU226" i="34"/>
  <c r="AU225" i="34"/>
  <c r="AW55" i="34"/>
  <c r="BE55" i="34" s="1"/>
  <c r="AU54" i="34"/>
  <c r="AU53" i="34"/>
  <c r="AU52" i="34"/>
  <c r="AW52" i="34" s="1"/>
  <c r="BE52" i="34" s="1"/>
  <c r="AW51" i="34"/>
  <c r="BE51" i="34" s="1"/>
  <c r="AU50" i="34"/>
  <c r="AU49" i="34"/>
  <c r="AU48" i="34"/>
  <c r="AU47" i="34"/>
  <c r="AW46" i="34"/>
  <c r="BE46" i="34" s="1"/>
  <c r="AU45" i="34"/>
  <c r="AW44" i="34"/>
  <c r="BE44" i="34" s="1"/>
  <c r="AU43" i="34"/>
  <c r="AU42" i="34"/>
  <c r="AW222" i="34"/>
  <c r="BE222" i="34" s="1"/>
  <c r="AU221" i="34"/>
  <c r="AW221" i="34" s="1"/>
  <c r="BE221" i="34" s="1"/>
  <c r="AU220" i="34"/>
  <c r="AU219" i="34"/>
  <c r="AW219" i="34" s="1"/>
  <c r="BE219" i="34" s="1"/>
  <c r="AU218" i="34"/>
  <c r="AU215" i="34"/>
  <c r="AW190" i="34"/>
  <c r="BE190" i="34" s="1"/>
  <c r="AU189" i="34"/>
  <c r="AU188" i="34"/>
  <c r="AU187" i="34"/>
  <c r="AU186" i="34"/>
  <c r="AU184" i="34"/>
  <c r="AW184" i="34" s="1"/>
  <c r="BE184" i="34" s="1"/>
  <c r="AU183" i="34"/>
  <c r="AU182" i="34"/>
  <c r="AU180" i="34"/>
  <c r="AU179" i="34"/>
  <c r="AU178" i="34"/>
  <c r="AU177" i="34"/>
  <c r="AU176" i="34"/>
  <c r="AW163" i="34"/>
  <c r="BE163" i="34" s="1"/>
  <c r="AU162" i="34"/>
  <c r="AU161" i="34"/>
  <c r="AU160" i="34"/>
  <c r="AU159" i="34"/>
  <c r="AW197" i="34"/>
  <c r="BE197" i="34" s="1"/>
  <c r="AU196" i="34"/>
  <c r="AU195" i="34"/>
  <c r="AU194" i="34"/>
  <c r="AU193" i="34"/>
  <c r="AW212" i="34"/>
  <c r="BE212" i="34" s="1"/>
  <c r="AU211" i="34"/>
  <c r="AU210" i="34"/>
  <c r="AU209" i="34"/>
  <c r="AU208" i="34"/>
  <c r="AU206" i="34"/>
  <c r="AU205" i="34"/>
  <c r="AU204" i="34"/>
  <c r="AU203" i="34"/>
  <c r="AU202" i="34"/>
  <c r="AW202" i="34" s="1"/>
  <c r="BE202" i="34" s="1"/>
  <c r="AU201" i="34"/>
  <c r="AU200" i="34"/>
  <c r="AW173" i="34"/>
  <c r="BE173" i="34" s="1"/>
  <c r="AU172" i="34"/>
  <c r="AU171" i="34"/>
  <c r="AW170" i="34"/>
  <c r="BE170" i="34" s="1"/>
  <c r="AU169" i="34"/>
  <c r="AU168" i="34"/>
  <c r="AU167" i="34"/>
  <c r="AU166" i="34"/>
  <c r="AW156" i="34"/>
  <c r="BE156" i="34" s="1"/>
  <c r="AU155" i="34"/>
  <c r="AU154" i="34"/>
  <c r="AU153" i="34"/>
  <c r="AU152" i="34"/>
  <c r="AU149" i="34"/>
  <c r="AU148" i="34"/>
  <c r="AU147" i="34"/>
  <c r="AU146" i="34"/>
  <c r="AU145" i="34"/>
  <c r="AU144" i="34"/>
  <c r="AU140" i="34"/>
  <c r="AU139" i="34"/>
  <c r="AU137" i="34"/>
  <c r="AU136" i="34"/>
  <c r="AU134" i="34"/>
  <c r="AU133" i="34"/>
  <c r="AU132" i="34"/>
  <c r="AU131" i="34"/>
  <c r="AW118" i="34"/>
  <c r="BE118" i="34" s="1"/>
  <c r="AU117" i="34"/>
  <c r="AU116" i="34"/>
  <c r="AU115" i="34"/>
  <c r="AU114" i="34"/>
  <c r="AU113" i="34"/>
  <c r="AU112" i="34"/>
  <c r="AU110" i="34"/>
  <c r="AU109" i="34"/>
  <c r="AU108" i="34"/>
  <c r="AU107" i="34"/>
  <c r="AU106" i="34"/>
  <c r="AU105" i="34"/>
  <c r="AU104" i="34"/>
  <c r="AU103" i="34"/>
  <c r="AU101" i="34"/>
  <c r="AU100" i="34"/>
  <c r="AW97" i="34"/>
  <c r="BE97" i="34" s="1"/>
  <c r="AU96" i="34"/>
  <c r="AU95" i="34"/>
  <c r="AU94" i="34"/>
  <c r="AU93" i="34"/>
  <c r="AU92" i="34"/>
  <c r="AU91" i="34"/>
  <c r="AU90" i="34"/>
  <c r="AU88" i="34"/>
  <c r="AU87" i="34"/>
  <c r="AU86" i="34"/>
  <c r="AU85" i="34"/>
  <c r="AW85" i="34" s="1"/>
  <c r="BE85" i="34" s="1"/>
  <c r="AU84" i="34"/>
  <c r="AU81" i="34"/>
  <c r="AU80" i="34"/>
  <c r="AU77" i="34"/>
  <c r="AU75" i="34"/>
  <c r="AU74" i="34"/>
  <c r="AU73" i="34"/>
  <c r="AU72" i="34"/>
  <c r="AU71" i="34"/>
  <c r="AU70" i="34"/>
  <c r="AU69" i="34"/>
  <c r="AU68" i="34"/>
  <c r="AU66" i="34"/>
  <c r="AF39" i="34"/>
  <c r="AN39" i="34" s="1"/>
  <c r="AD38" i="34"/>
  <c r="AF38" i="34" s="1"/>
  <c r="AN38" i="34" s="1"/>
  <c r="AD37" i="34"/>
  <c r="AD36" i="34"/>
  <c r="AD35" i="34"/>
  <c r="AD34" i="34"/>
  <c r="AD33" i="34"/>
  <c r="AD31" i="34"/>
  <c r="AD30" i="34"/>
  <c r="AD29" i="34"/>
  <c r="AD28" i="34"/>
  <c r="AD27" i="34"/>
  <c r="AD26" i="34"/>
  <c r="AD25" i="34"/>
  <c r="AF22" i="34"/>
  <c r="AN22" i="34" s="1"/>
  <c r="AD21" i="34"/>
  <c r="AD20" i="34"/>
  <c r="AD19" i="34"/>
  <c r="AD18" i="34"/>
  <c r="AD17" i="34"/>
  <c r="AD16" i="34"/>
  <c r="AD15" i="34"/>
  <c r="AD14" i="34"/>
  <c r="AD13" i="34"/>
  <c r="AD12" i="34"/>
  <c r="AD11" i="34"/>
  <c r="AD10" i="34"/>
  <c r="AF10" i="34" s="1"/>
  <c r="AN10" i="34" s="1"/>
  <c r="AD9" i="34"/>
  <c r="AD8" i="34"/>
  <c r="AD7" i="34"/>
  <c r="AF239" i="34"/>
  <c r="AN239" i="34" s="1"/>
  <c r="AD238" i="34"/>
  <c r="AD237" i="34"/>
  <c r="AD236" i="34"/>
  <c r="AD235" i="34"/>
  <c r="AD234" i="34"/>
  <c r="AD233" i="34"/>
  <c r="AD232" i="34"/>
  <c r="AD231" i="34"/>
  <c r="AD230" i="34"/>
  <c r="AD229" i="34"/>
  <c r="AD228" i="34"/>
  <c r="AD227" i="34"/>
  <c r="AD226" i="34"/>
  <c r="AD225" i="34"/>
  <c r="AF55" i="34"/>
  <c r="AN55" i="34" s="1"/>
  <c r="AD54" i="34"/>
  <c r="AD53" i="34"/>
  <c r="AD52" i="34"/>
  <c r="AF51" i="34"/>
  <c r="AN51" i="34" s="1"/>
  <c r="AD50" i="34"/>
  <c r="AD49" i="34"/>
  <c r="AD48" i="34"/>
  <c r="AF48" i="34" s="1"/>
  <c r="AN48" i="34" s="1"/>
  <c r="AD47" i="34"/>
  <c r="AF46" i="34"/>
  <c r="AN46" i="34" s="1"/>
  <c r="AD45" i="34"/>
  <c r="AF45" i="34" s="1"/>
  <c r="AN45" i="34" s="1"/>
  <c r="AF44" i="34"/>
  <c r="AN44" i="34" s="1"/>
  <c r="AD43" i="34"/>
  <c r="AD42" i="34"/>
  <c r="AF222" i="34"/>
  <c r="AN222" i="34" s="1"/>
  <c r="AD221" i="34"/>
  <c r="AF221" i="34" s="1"/>
  <c r="AN221" i="34" s="1"/>
  <c r="AD220" i="34"/>
  <c r="AD219" i="34"/>
  <c r="AD218" i="34"/>
  <c r="AD215" i="34"/>
  <c r="AF190" i="34"/>
  <c r="AN190" i="34" s="1"/>
  <c r="AD189" i="34"/>
  <c r="AD188" i="34"/>
  <c r="AD187" i="34"/>
  <c r="AD186" i="34"/>
  <c r="AD184" i="34"/>
  <c r="AD183" i="34"/>
  <c r="AD182" i="34"/>
  <c r="AD180" i="34"/>
  <c r="AD179" i="34"/>
  <c r="AD178" i="34"/>
  <c r="AF178" i="34" s="1"/>
  <c r="AN178" i="34" s="1"/>
  <c r="AD177" i="34"/>
  <c r="AD176" i="34"/>
  <c r="AF163" i="34"/>
  <c r="AN163" i="34" s="1"/>
  <c r="AD162" i="34"/>
  <c r="AD161" i="34"/>
  <c r="AD160" i="34"/>
  <c r="AD159" i="34"/>
  <c r="AF197" i="34"/>
  <c r="AN197" i="34" s="1"/>
  <c r="AD196" i="34"/>
  <c r="AD195" i="34"/>
  <c r="AD194" i="34"/>
  <c r="AF194" i="34" s="1"/>
  <c r="AN194" i="34" s="1"/>
  <c r="AD193" i="34"/>
  <c r="AF212" i="34"/>
  <c r="AN212" i="34" s="1"/>
  <c r="AD211" i="34"/>
  <c r="AD210" i="34"/>
  <c r="AD209" i="34"/>
  <c r="AD208" i="34"/>
  <c r="AD206" i="34"/>
  <c r="AD205" i="34"/>
  <c r="AD204" i="34"/>
  <c r="AD203" i="34"/>
  <c r="AD202" i="34"/>
  <c r="AD201" i="34"/>
  <c r="AD200" i="34"/>
  <c r="AF173" i="34"/>
  <c r="AN173" i="34" s="1"/>
  <c r="AD172" i="34"/>
  <c r="AD171" i="34"/>
  <c r="AF170" i="34"/>
  <c r="AN170" i="34" s="1"/>
  <c r="AD169" i="34"/>
  <c r="AD168" i="34"/>
  <c r="AD167" i="34"/>
  <c r="AD166" i="34"/>
  <c r="AF156" i="34"/>
  <c r="AN156" i="34" s="1"/>
  <c r="AD155" i="34"/>
  <c r="AD154" i="34"/>
  <c r="AD153" i="34"/>
  <c r="AD152" i="34"/>
  <c r="AD149" i="34"/>
  <c r="AD148" i="34"/>
  <c r="AD147" i="34"/>
  <c r="AD146" i="34"/>
  <c r="AD145" i="34"/>
  <c r="AF145" i="34" s="1"/>
  <c r="AN145" i="34" s="1"/>
  <c r="AD144" i="34"/>
  <c r="AD140" i="34"/>
  <c r="AD139" i="34"/>
  <c r="AD137" i="34"/>
  <c r="AD136" i="34"/>
  <c r="AD134" i="34"/>
  <c r="AD133" i="34"/>
  <c r="AD132" i="34"/>
  <c r="AD131" i="34"/>
  <c r="AF118" i="34"/>
  <c r="AN118" i="34" s="1"/>
  <c r="AD117" i="34"/>
  <c r="AD116" i="34"/>
  <c r="AD115" i="34"/>
  <c r="AD114" i="34"/>
  <c r="AD113" i="34"/>
  <c r="AD112" i="34"/>
  <c r="AD110" i="34"/>
  <c r="AD109" i="34"/>
  <c r="AD108" i="34"/>
  <c r="AD107" i="34"/>
  <c r="AD106" i="34"/>
  <c r="AD105" i="34"/>
  <c r="AD104" i="34"/>
  <c r="AD103" i="34"/>
  <c r="AD101" i="34"/>
  <c r="AD100" i="34"/>
  <c r="AF97" i="34"/>
  <c r="AN97" i="34" s="1"/>
  <c r="AD96" i="34"/>
  <c r="AD95" i="34"/>
  <c r="AD94" i="34"/>
  <c r="AD93" i="34"/>
  <c r="AD92" i="34"/>
  <c r="AD91" i="34"/>
  <c r="AD90" i="34"/>
  <c r="AD88" i="34"/>
  <c r="AD87" i="34"/>
  <c r="AD86" i="34"/>
  <c r="AD85" i="34"/>
  <c r="AF85" i="34" s="1"/>
  <c r="AN85" i="34" s="1"/>
  <c r="AD84" i="34"/>
  <c r="AD81" i="34"/>
  <c r="AD80" i="34"/>
  <c r="AD77" i="34"/>
  <c r="AD75" i="34"/>
  <c r="AD74" i="34"/>
  <c r="AD73" i="34"/>
  <c r="AD72" i="34"/>
  <c r="AD71" i="34"/>
  <c r="AD70" i="34"/>
  <c r="AD69" i="34"/>
  <c r="AD68" i="34"/>
  <c r="AD66" i="34"/>
  <c r="O170" i="34"/>
  <c r="O44" i="34"/>
  <c r="O46" i="34"/>
  <c r="O51" i="34"/>
  <c r="O97" i="34"/>
  <c r="O118" i="34"/>
  <c r="O156" i="34"/>
  <c r="O173" i="34"/>
  <c r="O212" i="34"/>
  <c r="O197" i="34"/>
  <c r="M246" i="34"/>
  <c r="M245" i="34"/>
  <c r="M244" i="34"/>
  <c r="M243" i="34"/>
  <c r="O243" i="34" s="1"/>
  <c r="M38" i="34"/>
  <c r="M37" i="34"/>
  <c r="M36" i="34"/>
  <c r="M35" i="34"/>
  <c r="M34" i="34"/>
  <c r="O34" i="34" s="1"/>
  <c r="M33" i="34"/>
  <c r="M31" i="34"/>
  <c r="M30" i="34"/>
  <c r="M29" i="34"/>
  <c r="M28" i="34"/>
  <c r="M27" i="34"/>
  <c r="M26" i="34"/>
  <c r="M25" i="34"/>
  <c r="O25" i="34" s="1"/>
  <c r="M21" i="34"/>
  <c r="M20" i="34"/>
  <c r="M19" i="34"/>
  <c r="M18" i="34"/>
  <c r="O18" i="34" s="1"/>
  <c r="M17" i="34"/>
  <c r="M16" i="34"/>
  <c r="M15" i="34"/>
  <c r="M14" i="34"/>
  <c r="M13" i="34"/>
  <c r="M12" i="34"/>
  <c r="M11" i="34"/>
  <c r="M10" i="34"/>
  <c r="M9" i="34"/>
  <c r="M8" i="34"/>
  <c r="M7" i="34"/>
  <c r="M238" i="34"/>
  <c r="O238" i="34" s="1"/>
  <c r="M237" i="34"/>
  <c r="M236" i="34"/>
  <c r="M235" i="34"/>
  <c r="M234" i="34"/>
  <c r="M233" i="34"/>
  <c r="M232" i="34"/>
  <c r="M231" i="34"/>
  <c r="M230" i="34"/>
  <c r="O230" i="34" s="1"/>
  <c r="M229" i="34"/>
  <c r="O229" i="34" s="1"/>
  <c r="M228" i="34"/>
  <c r="M227" i="34"/>
  <c r="M226" i="34"/>
  <c r="O226" i="34" s="1"/>
  <c r="M225" i="34"/>
  <c r="O225" i="34" s="1"/>
  <c r="M54" i="34"/>
  <c r="M53" i="34"/>
  <c r="M50" i="34"/>
  <c r="M49" i="34"/>
  <c r="M48" i="34"/>
  <c r="M47" i="34"/>
  <c r="M45" i="34"/>
  <c r="M43" i="34"/>
  <c r="M42" i="34"/>
  <c r="M221" i="34"/>
  <c r="M220" i="34"/>
  <c r="M219" i="34"/>
  <c r="M218" i="34"/>
  <c r="M215" i="34"/>
  <c r="M189" i="34"/>
  <c r="O189" i="34" s="1"/>
  <c r="M188" i="34"/>
  <c r="M187" i="34"/>
  <c r="M186" i="34"/>
  <c r="M184" i="34"/>
  <c r="M183" i="34"/>
  <c r="M182" i="34"/>
  <c r="M180" i="34"/>
  <c r="M179" i="34"/>
  <c r="M178" i="34"/>
  <c r="O178" i="34" s="1"/>
  <c r="M177" i="34"/>
  <c r="M176" i="34"/>
  <c r="M162" i="34"/>
  <c r="M161" i="34"/>
  <c r="M160" i="34"/>
  <c r="M159" i="34"/>
  <c r="M196" i="34"/>
  <c r="M195" i="34"/>
  <c r="M194" i="34"/>
  <c r="M193" i="34"/>
  <c r="M211" i="34"/>
  <c r="M210" i="34"/>
  <c r="M209" i="34"/>
  <c r="O209" i="34" s="1"/>
  <c r="M208" i="34"/>
  <c r="M206" i="34"/>
  <c r="M205" i="34"/>
  <c r="M204" i="34"/>
  <c r="M203" i="34"/>
  <c r="M202" i="34"/>
  <c r="O202" i="34" s="1"/>
  <c r="M201" i="34"/>
  <c r="M200" i="34"/>
  <c r="M172" i="34"/>
  <c r="O172" i="34" s="1"/>
  <c r="M171" i="34"/>
  <c r="M169" i="34"/>
  <c r="M168" i="34"/>
  <c r="M167" i="34"/>
  <c r="M166" i="34"/>
  <c r="M155" i="34"/>
  <c r="O155" i="34" s="1"/>
  <c r="M154" i="34"/>
  <c r="M153" i="34"/>
  <c r="M152" i="34"/>
  <c r="M149" i="34"/>
  <c r="M148" i="34"/>
  <c r="M147" i="34"/>
  <c r="M146" i="34"/>
  <c r="M145" i="34"/>
  <c r="M144" i="34"/>
  <c r="M140" i="34"/>
  <c r="M139" i="34"/>
  <c r="M137" i="34"/>
  <c r="M136" i="34"/>
  <c r="M134" i="34"/>
  <c r="M133" i="34"/>
  <c r="M132" i="34"/>
  <c r="M131" i="34"/>
  <c r="M115" i="34"/>
  <c r="M116" i="34"/>
  <c r="M117" i="34"/>
  <c r="M101" i="34"/>
  <c r="M103" i="34"/>
  <c r="M104" i="34"/>
  <c r="M105" i="34"/>
  <c r="M106" i="34"/>
  <c r="M107" i="34"/>
  <c r="M108" i="34"/>
  <c r="M109" i="34"/>
  <c r="M110" i="34"/>
  <c r="M112" i="34"/>
  <c r="M113" i="34"/>
  <c r="M114" i="34"/>
  <c r="M94" i="34"/>
  <c r="M95" i="34"/>
  <c r="M96" i="34"/>
  <c r="M68" i="34"/>
  <c r="M69" i="34"/>
  <c r="M70" i="34"/>
  <c r="M71" i="34"/>
  <c r="M72" i="34"/>
  <c r="O72" i="34" s="1"/>
  <c r="M73" i="34"/>
  <c r="M74" i="34"/>
  <c r="M75" i="34"/>
  <c r="M77" i="34"/>
  <c r="M80" i="34"/>
  <c r="M81" i="34"/>
  <c r="M84" i="34"/>
  <c r="M85" i="34"/>
  <c r="O85" i="34" s="1"/>
  <c r="M86" i="34"/>
  <c r="M87" i="34"/>
  <c r="M88" i="34"/>
  <c r="M90" i="34"/>
  <c r="M91" i="34"/>
  <c r="M92" i="34"/>
  <c r="O92" i="34" s="1"/>
  <c r="M93" i="34"/>
  <c r="M66" i="34"/>
  <c r="W5" i="34"/>
  <c r="W4" i="34"/>
  <c r="M100" i="34"/>
  <c r="BN244" i="34" l="1"/>
  <c r="BV244" i="34" s="1"/>
  <c r="BN245" i="34"/>
  <c r="BV245" i="34" s="1"/>
  <c r="BN246" i="34"/>
  <c r="BV246" i="34" s="1"/>
  <c r="W92" i="34"/>
  <c r="W226" i="34"/>
  <c r="W34" i="34"/>
  <c r="CP156" i="34"/>
  <c r="W156" i="34"/>
  <c r="CR156" i="34" s="1"/>
  <c r="CP222" i="34"/>
  <c r="CR163" i="34"/>
  <c r="W209" i="34"/>
  <c r="W197" i="34"/>
  <c r="CR197" i="34" s="1"/>
  <c r="CP197" i="34"/>
  <c r="CP118" i="34"/>
  <c r="W118" i="34"/>
  <c r="CR118" i="34" s="1"/>
  <c r="CP44" i="34"/>
  <c r="W44" i="34"/>
  <c r="CR44" i="34" s="1"/>
  <c r="CR239" i="34"/>
  <c r="CP163" i="34"/>
  <c r="W238" i="34"/>
  <c r="W25" i="34"/>
  <c r="W155" i="34"/>
  <c r="W178" i="34"/>
  <c r="W212" i="34"/>
  <c r="CR212" i="34" s="1"/>
  <c r="CP212" i="34"/>
  <c r="CP97" i="34"/>
  <c r="W97" i="34"/>
  <c r="CR97" i="34" s="1"/>
  <c r="CP170" i="34"/>
  <c r="W170" i="34"/>
  <c r="CR170" i="34" s="1"/>
  <c r="CR39" i="34"/>
  <c r="CR22" i="34"/>
  <c r="CP239" i="34"/>
  <c r="CR55" i="34"/>
  <c r="W172" i="34"/>
  <c r="W230" i="34"/>
  <c r="W18" i="34"/>
  <c r="CP46" i="34"/>
  <c r="W46" i="34"/>
  <c r="CR46" i="34" s="1"/>
  <c r="CP190" i="34"/>
  <c r="W85" i="34"/>
  <c r="W72" i="34"/>
  <c r="W202" i="34"/>
  <c r="W189" i="34"/>
  <c r="W225" i="34"/>
  <c r="W229" i="34"/>
  <c r="CP173" i="34"/>
  <c r="W173" i="34"/>
  <c r="CR173" i="34" s="1"/>
  <c r="CP51" i="34"/>
  <c r="W51" i="34"/>
  <c r="CR51" i="34" s="1"/>
  <c r="AN243" i="34"/>
  <c r="AN273" i="34" s="1"/>
  <c r="BE243" i="34"/>
  <c r="BE273" i="34" s="1"/>
  <c r="BV243" i="34"/>
  <c r="CM243" i="34"/>
  <c r="CM273" i="34" s="1"/>
  <c r="CP39" i="34"/>
  <c r="CP22" i="34"/>
  <c r="CP55" i="34"/>
  <c r="CR190" i="34"/>
  <c r="CR222" i="34"/>
  <c r="W255" i="34"/>
  <c r="CR255" i="34" s="1"/>
  <c r="AW273" i="34"/>
  <c r="CE273" i="34"/>
  <c r="AF273" i="34"/>
  <c r="CP247" i="34"/>
  <c r="CP255" i="34"/>
  <c r="CP249" i="34"/>
  <c r="CP248" i="34"/>
  <c r="AF167" i="34"/>
  <c r="AN167" i="34" s="1"/>
  <c r="AF233" i="34"/>
  <c r="AN233" i="34" s="1"/>
  <c r="BN109" i="34"/>
  <c r="BV109" i="34" s="1"/>
  <c r="AF230" i="34"/>
  <c r="AN230" i="34" s="1"/>
  <c r="CE215" i="34"/>
  <c r="CM215" i="34" s="1"/>
  <c r="O109" i="34"/>
  <c r="AF92" i="34"/>
  <c r="AN92" i="34" s="1"/>
  <c r="AF29" i="34"/>
  <c r="AN29" i="34" s="1"/>
  <c r="O200" i="34"/>
  <c r="O183" i="34"/>
  <c r="AF183" i="34"/>
  <c r="AN183" i="34" s="1"/>
  <c r="O132" i="34"/>
  <c r="O47" i="34"/>
  <c r="AF14" i="34"/>
  <c r="AN14" i="34" s="1"/>
  <c r="CE184" i="34"/>
  <c r="CM184" i="34" s="1"/>
  <c r="AF184" i="34"/>
  <c r="AN184" i="34" s="1"/>
  <c r="O245" i="34"/>
  <c r="W245" i="34" s="1"/>
  <c r="AF234" i="34"/>
  <c r="AN234" i="34" s="1"/>
  <c r="AW234" i="34"/>
  <c r="BE234" i="34" s="1"/>
  <c r="CE233" i="34"/>
  <c r="CM233" i="34" s="1"/>
  <c r="BN9" i="34"/>
  <c r="BV9" i="34" s="1"/>
  <c r="AF66" i="34"/>
  <c r="AN66" i="34" s="1"/>
  <c r="CE69" i="34"/>
  <c r="CM69" i="34" s="1"/>
  <c r="BN71" i="34"/>
  <c r="BV71" i="34" s="1"/>
  <c r="AF72" i="34"/>
  <c r="AN72" i="34" s="1"/>
  <c r="CE74" i="34"/>
  <c r="CM74" i="34" s="1"/>
  <c r="AF77" i="34"/>
  <c r="AN77" i="34" s="1"/>
  <c r="CE81" i="34"/>
  <c r="CM81" i="34" s="1"/>
  <c r="BN85" i="34"/>
  <c r="BV85" i="34" s="1"/>
  <c r="AW87" i="34"/>
  <c r="BE87" i="34" s="1"/>
  <c r="AW90" i="34"/>
  <c r="BE90" i="34" s="1"/>
  <c r="CE92" i="34"/>
  <c r="CM92" i="34" s="1"/>
  <c r="CE95" i="34"/>
  <c r="CM95" i="34" s="1"/>
  <c r="AW100" i="34"/>
  <c r="BE100" i="34" s="1"/>
  <c r="AF103" i="34"/>
  <c r="AN103" i="34" s="1"/>
  <c r="CE105" i="34"/>
  <c r="CM105" i="34" s="1"/>
  <c r="AW107" i="34"/>
  <c r="BE107" i="34" s="1"/>
  <c r="CE109" i="34"/>
  <c r="CM109" i="34" s="1"/>
  <c r="CE112" i="34"/>
  <c r="CM112" i="34" s="1"/>
  <c r="CE116" i="34"/>
  <c r="CM116" i="34" s="1"/>
  <c r="CE132" i="34"/>
  <c r="CM132" i="34" s="1"/>
  <c r="BN137" i="34"/>
  <c r="BV137" i="34" s="1"/>
  <c r="CE145" i="34"/>
  <c r="CM145" i="34" s="1"/>
  <c r="BN147" i="34"/>
  <c r="BV147" i="34" s="1"/>
  <c r="CE149" i="34"/>
  <c r="CM149" i="34" s="1"/>
  <c r="CE155" i="34"/>
  <c r="CM155" i="34" s="1"/>
  <c r="CE167" i="34"/>
  <c r="CM167" i="34" s="1"/>
  <c r="AW169" i="34"/>
  <c r="BE169" i="34" s="1"/>
  <c r="AF172" i="34"/>
  <c r="AN172" i="34" s="1"/>
  <c r="BN200" i="34"/>
  <c r="BV200" i="34" s="1"/>
  <c r="CE202" i="34"/>
  <c r="CM202" i="34" s="1"/>
  <c r="AW203" i="34"/>
  <c r="BE203" i="34" s="1"/>
  <c r="AW205" i="34"/>
  <c r="BE205" i="34" s="1"/>
  <c r="BN208" i="34"/>
  <c r="BV208" i="34" s="1"/>
  <c r="AF210" i="34"/>
  <c r="AN210" i="34" s="1"/>
  <c r="AW193" i="34"/>
  <c r="BE193" i="34" s="1"/>
  <c r="CE178" i="34"/>
  <c r="CM178" i="34" s="1"/>
  <c r="AW180" i="34"/>
  <c r="BE180" i="34" s="1"/>
  <c r="CE183" i="34"/>
  <c r="CM183" i="34" s="1"/>
  <c r="AW186" i="34"/>
  <c r="BE186" i="34" s="1"/>
  <c r="AW215" i="34"/>
  <c r="BE215" i="34" s="1"/>
  <c r="CE221" i="34"/>
  <c r="CM221" i="34" s="1"/>
  <c r="CE42" i="34"/>
  <c r="CM42" i="34" s="1"/>
  <c r="BN45" i="34"/>
  <c r="BV45" i="34" s="1"/>
  <c r="CE48" i="34"/>
  <c r="CM48" i="34" s="1"/>
  <c r="AF50" i="34"/>
  <c r="AN50" i="34" s="1"/>
  <c r="O53" i="34"/>
  <c r="BN225" i="34"/>
  <c r="BV225" i="34" s="1"/>
  <c r="AF227" i="34"/>
  <c r="AN227" i="34" s="1"/>
  <c r="BN229" i="34"/>
  <c r="BV229" i="34" s="1"/>
  <c r="AW231" i="34"/>
  <c r="BE231" i="34" s="1"/>
  <c r="CE235" i="34"/>
  <c r="CM235" i="34" s="1"/>
  <c r="AF237" i="34"/>
  <c r="AN237" i="34" s="1"/>
  <c r="CE7" i="34"/>
  <c r="CM7" i="34" s="1"/>
  <c r="AF11" i="34"/>
  <c r="AN11" i="34" s="1"/>
  <c r="BN13" i="34"/>
  <c r="BV13" i="34" s="1"/>
  <c r="CE15" i="34"/>
  <c r="CM15" i="34" s="1"/>
  <c r="BN19" i="34"/>
  <c r="BV19" i="34" s="1"/>
  <c r="O21" i="34"/>
  <c r="BN26" i="34"/>
  <c r="AF28" i="34"/>
  <c r="AN28" i="34" s="1"/>
  <c r="CE30" i="34"/>
  <c r="CM30" i="34" s="1"/>
  <c r="CE33" i="34"/>
  <c r="CM33" i="34" s="1"/>
  <c r="CE35" i="34"/>
  <c r="CM35" i="34" s="1"/>
  <c r="CE37" i="34"/>
  <c r="CM37" i="34" s="1"/>
  <c r="AW68" i="34"/>
  <c r="BE68" i="34" s="1"/>
  <c r="CE70" i="34"/>
  <c r="CM70" i="34" s="1"/>
  <c r="CE73" i="34"/>
  <c r="CM73" i="34" s="1"/>
  <c r="AW84" i="34"/>
  <c r="BE84" i="34" s="1"/>
  <c r="O86" i="34"/>
  <c r="CE88" i="34"/>
  <c r="CM88" i="34" s="1"/>
  <c r="CE91" i="34"/>
  <c r="CM91" i="34" s="1"/>
  <c r="AW93" i="34"/>
  <c r="BE93" i="34" s="1"/>
  <c r="CE94" i="34"/>
  <c r="CM94" i="34" s="1"/>
  <c r="BN96" i="34"/>
  <c r="BV96" i="34" s="1"/>
  <c r="BN101" i="34"/>
  <c r="BV101" i="34" s="1"/>
  <c r="BN104" i="34"/>
  <c r="BV104" i="34" s="1"/>
  <c r="CE106" i="34"/>
  <c r="CM106" i="34" s="1"/>
  <c r="AW108" i="34"/>
  <c r="BE108" i="34" s="1"/>
  <c r="CE110" i="34"/>
  <c r="CM110" i="34" s="1"/>
  <c r="BN113" i="34"/>
  <c r="BV113" i="34" s="1"/>
  <c r="BN115" i="34"/>
  <c r="BV115" i="34" s="1"/>
  <c r="BN117" i="34"/>
  <c r="BV117" i="34" s="1"/>
  <c r="AF131" i="34"/>
  <c r="AN131" i="34" s="1"/>
  <c r="AF133" i="34"/>
  <c r="AN133" i="34" s="1"/>
  <c r="AF136" i="34"/>
  <c r="AN136" i="34" s="1"/>
  <c r="AF139" i="34"/>
  <c r="AN139" i="34" s="1"/>
  <c r="AW144" i="34"/>
  <c r="BE144" i="34" s="1"/>
  <c r="AF148" i="34"/>
  <c r="AN148" i="34" s="1"/>
  <c r="AF152" i="34"/>
  <c r="AN152" i="34" s="1"/>
  <c r="BN154" i="34"/>
  <c r="BV154" i="34" s="1"/>
  <c r="AW168" i="34"/>
  <c r="BE168" i="34" s="1"/>
  <c r="O171" i="34"/>
  <c r="AW201" i="34"/>
  <c r="BE201" i="34" s="1"/>
  <c r="CE206" i="34"/>
  <c r="CM206" i="34" s="1"/>
  <c r="AW211" i="34"/>
  <c r="BE211" i="34" s="1"/>
  <c r="CE194" i="34"/>
  <c r="CM194" i="34" s="1"/>
  <c r="CE196" i="34"/>
  <c r="CM196" i="34" s="1"/>
  <c r="O159" i="34"/>
  <c r="AW161" i="34"/>
  <c r="BE161" i="34" s="1"/>
  <c r="CE177" i="34"/>
  <c r="CM177" i="34" s="1"/>
  <c r="CE179" i="34"/>
  <c r="CM179" i="34" s="1"/>
  <c r="CE182" i="34"/>
  <c r="CM182" i="34" s="1"/>
  <c r="BN184" i="34"/>
  <c r="BV184" i="34" s="1"/>
  <c r="AW189" i="34"/>
  <c r="BE189" i="34" s="1"/>
  <c r="O219" i="34"/>
  <c r="CE47" i="34"/>
  <c r="CM47" i="34" s="1"/>
  <c r="BN52" i="34"/>
  <c r="BV52" i="34" s="1"/>
  <c r="AW226" i="34"/>
  <c r="BE226" i="34" s="1"/>
  <c r="BN234" i="34"/>
  <c r="BV234" i="34" s="1"/>
  <c r="BN236" i="34"/>
  <c r="BV236" i="34" s="1"/>
  <c r="AW238" i="34"/>
  <c r="BE238" i="34" s="1"/>
  <c r="CE10" i="34"/>
  <c r="CM10" i="34" s="1"/>
  <c r="AF12" i="34"/>
  <c r="AN12" i="34" s="1"/>
  <c r="AW14" i="34"/>
  <c r="BE14" i="34" s="1"/>
  <c r="BN18" i="34"/>
  <c r="BV18" i="34" s="1"/>
  <c r="CE25" i="34"/>
  <c r="CM25" i="34" s="1"/>
  <c r="O29" i="34"/>
  <c r="AF34" i="34"/>
  <c r="AN34" i="34" s="1"/>
  <c r="CE38" i="34"/>
  <c r="CM38" i="34" s="1"/>
  <c r="BN211" i="34"/>
  <c r="BV211" i="34" s="1"/>
  <c r="AF70" i="34"/>
  <c r="AN70" i="34" s="1"/>
  <c r="AF87" i="34"/>
  <c r="AN87" i="34" s="1"/>
  <c r="BN93" i="34"/>
  <c r="BV93" i="34" s="1"/>
  <c r="BN108" i="34"/>
  <c r="BV108" i="34" s="1"/>
  <c r="AF202" i="34"/>
  <c r="AN202" i="34" s="1"/>
  <c r="O87" i="34"/>
  <c r="O110" i="34"/>
  <c r="O115" i="34"/>
  <c r="O136" i="34"/>
  <c r="BN144" i="34"/>
  <c r="BV144" i="34" s="1"/>
  <c r="CE93" i="34"/>
  <c r="CM93" i="34" s="1"/>
  <c r="BN205" i="34"/>
  <c r="BV205" i="34" s="1"/>
  <c r="AF110" i="34"/>
  <c r="AN110" i="34" s="1"/>
  <c r="AF53" i="34"/>
  <c r="AN53" i="34" s="1"/>
  <c r="AW136" i="34"/>
  <c r="BE136" i="34" s="1"/>
  <c r="AW206" i="34"/>
  <c r="BE206" i="34" s="1"/>
  <c r="BN92" i="34"/>
  <c r="BV92" i="34" s="1"/>
  <c r="BN11" i="34"/>
  <c r="BV11" i="34" s="1"/>
  <c r="CE161" i="34"/>
  <c r="CM161" i="34" s="1"/>
  <c r="O96" i="34"/>
  <c r="O196" i="34"/>
  <c r="AF96" i="34"/>
  <c r="AN96" i="34" s="1"/>
  <c r="O104" i="34"/>
  <c r="AW70" i="34"/>
  <c r="BE70" i="34" s="1"/>
  <c r="AW92" i="34"/>
  <c r="BE92" i="34" s="1"/>
  <c r="AW172" i="34"/>
  <c r="BE172" i="34" s="1"/>
  <c r="AW196" i="34"/>
  <c r="BE196" i="34" s="1"/>
  <c r="AW35" i="34"/>
  <c r="BE35" i="34" s="1"/>
  <c r="BN70" i="34"/>
  <c r="BV70" i="34" s="1"/>
  <c r="CE154" i="34"/>
  <c r="CM154" i="34" s="1"/>
  <c r="CE186" i="34"/>
  <c r="CM186" i="34" s="1"/>
  <c r="BN88" i="34"/>
  <c r="BV88" i="34" s="1"/>
  <c r="CE108" i="34"/>
  <c r="CM108" i="34" s="1"/>
  <c r="CE131" i="34"/>
  <c r="CM131" i="34" s="1"/>
  <c r="CE168" i="34"/>
  <c r="CM168" i="34" s="1"/>
  <c r="CE189" i="34"/>
  <c r="CM189" i="34" s="1"/>
  <c r="CE219" i="34"/>
  <c r="CM219" i="34" s="1"/>
  <c r="CE52" i="34"/>
  <c r="CM52" i="34" s="1"/>
  <c r="CE226" i="34"/>
  <c r="CM226" i="34" s="1"/>
  <c r="CE234" i="34"/>
  <c r="CM234" i="34" s="1"/>
  <c r="CE34" i="34"/>
  <c r="CM34" i="34" s="1"/>
  <c r="BN202" i="34"/>
  <c r="BV202" i="34" s="1"/>
  <c r="O148" i="34"/>
  <c r="O184" i="34"/>
  <c r="O38" i="34"/>
  <c r="AF154" i="34"/>
  <c r="AN154" i="34" s="1"/>
  <c r="AF189" i="34"/>
  <c r="AF219" i="34"/>
  <c r="AN219" i="34" s="1"/>
  <c r="AF47" i="34"/>
  <c r="AN47" i="34" s="1"/>
  <c r="AF52" i="34"/>
  <c r="AN52" i="34" s="1"/>
  <c r="AF226" i="34"/>
  <c r="AN226" i="34" s="1"/>
  <c r="AF238" i="34"/>
  <c r="AN238" i="34" s="1"/>
  <c r="AF25" i="34"/>
  <c r="AN25" i="34" s="1"/>
  <c r="AW88" i="34"/>
  <c r="BE88" i="34" s="1"/>
  <c r="AW110" i="34"/>
  <c r="BE110" i="34" s="1"/>
  <c r="AW148" i="34"/>
  <c r="BE148" i="34" s="1"/>
  <c r="AW47" i="34"/>
  <c r="BE47" i="34" s="1"/>
  <c r="AW10" i="34"/>
  <c r="BE10" i="34" s="1"/>
  <c r="AW29" i="34"/>
  <c r="BE29" i="34" s="1"/>
  <c r="BN148" i="34"/>
  <c r="BV148" i="34" s="1"/>
  <c r="BN226" i="34"/>
  <c r="BV226" i="34" s="1"/>
  <c r="BN14" i="34"/>
  <c r="BV14" i="34" s="1"/>
  <c r="BN29" i="34"/>
  <c r="BV29" i="34" s="1"/>
  <c r="CE101" i="34"/>
  <c r="CM101" i="34" s="1"/>
  <c r="CE104" i="34"/>
  <c r="CM104" i="34" s="1"/>
  <c r="CE18" i="34"/>
  <c r="CM18" i="34" s="1"/>
  <c r="CE29" i="34"/>
  <c r="CM29" i="34" s="1"/>
  <c r="O179" i="34"/>
  <c r="O234" i="34"/>
  <c r="O10" i="34"/>
  <c r="O14" i="34"/>
  <c r="O246" i="34"/>
  <c r="W246" i="34" s="1"/>
  <c r="AF73" i="34"/>
  <c r="AN73" i="34" s="1"/>
  <c r="AF104" i="34"/>
  <c r="AN104" i="34" s="1"/>
  <c r="AF144" i="34"/>
  <c r="AN144" i="34" s="1"/>
  <c r="AF18" i="34"/>
  <c r="AN18" i="34" s="1"/>
  <c r="AW131" i="34"/>
  <c r="BE131" i="34" s="1"/>
  <c r="BN131" i="34"/>
  <c r="BV131" i="34" s="1"/>
  <c r="BN10" i="34"/>
  <c r="BV10" i="34" s="1"/>
  <c r="BN38" i="34"/>
  <c r="BV38" i="34" s="1"/>
  <c r="CE115" i="34"/>
  <c r="CM115" i="34" s="1"/>
  <c r="CE144" i="34"/>
  <c r="CM144" i="34" s="1"/>
  <c r="O193" i="34"/>
  <c r="O231" i="34"/>
  <c r="AF201" i="34"/>
  <c r="AN201" i="34" s="1"/>
  <c r="AF161" i="34"/>
  <c r="AN161" i="34" s="1"/>
  <c r="AF235" i="34"/>
  <c r="AN235" i="34" s="1"/>
  <c r="AW81" i="34"/>
  <c r="BE81" i="34" s="1"/>
  <c r="BN81" i="34"/>
  <c r="BV81" i="34" s="1"/>
  <c r="BN100" i="34"/>
  <c r="BV100" i="34" s="1"/>
  <c r="BN161" i="34"/>
  <c r="BV161" i="34" s="1"/>
  <c r="CE193" i="34"/>
  <c r="CM193" i="34" s="1"/>
  <c r="CE227" i="34"/>
  <c r="CM227" i="34" s="1"/>
  <c r="AW133" i="34"/>
  <c r="BE133" i="34" s="1"/>
  <c r="AW182" i="34"/>
  <c r="BE182" i="34" s="1"/>
  <c r="CE208" i="34"/>
  <c r="CM208" i="34" s="1"/>
  <c r="AF211" i="34"/>
  <c r="AN211" i="34" s="1"/>
  <c r="O81" i="34"/>
  <c r="O145" i="34"/>
  <c r="O208" i="34"/>
  <c r="O161" i="34"/>
  <c r="O42" i="34"/>
  <c r="O19" i="34"/>
  <c r="AW112" i="34"/>
  <c r="BE112" i="34" s="1"/>
  <c r="AW139" i="34"/>
  <c r="BE139" i="34" s="1"/>
  <c r="CE19" i="34"/>
  <c r="CM19" i="34" s="1"/>
  <c r="CE26" i="34"/>
  <c r="CM26" i="34" s="1"/>
  <c r="AW72" i="34"/>
  <c r="BE72" i="34" s="1"/>
  <c r="O88" i="34"/>
  <c r="O74" i="34"/>
  <c r="O48" i="34"/>
  <c r="O11" i="34"/>
  <c r="O37" i="34"/>
  <c r="AF69" i="34"/>
  <c r="AN69" i="34" s="1"/>
  <c r="AF74" i="34"/>
  <c r="AN74" i="34" s="1"/>
  <c r="AF88" i="34"/>
  <c r="AN88" i="34" s="1"/>
  <c r="AF109" i="34"/>
  <c r="AN109" i="34" s="1"/>
  <c r="AF180" i="34"/>
  <c r="AN180" i="34" s="1"/>
  <c r="AF225" i="34"/>
  <c r="AN225" i="34" s="1"/>
  <c r="AF7" i="34"/>
  <c r="AN7" i="34" s="1"/>
  <c r="AF15" i="34"/>
  <c r="AN15" i="34" s="1"/>
  <c r="AF37" i="34"/>
  <c r="AN37" i="34" s="1"/>
  <c r="AW178" i="34"/>
  <c r="BE178" i="34" s="1"/>
  <c r="AW50" i="34"/>
  <c r="BE50" i="34" s="1"/>
  <c r="AW235" i="34"/>
  <c r="BE235" i="34" s="1"/>
  <c r="AW237" i="34"/>
  <c r="BE237" i="34" s="1"/>
  <c r="BN180" i="34"/>
  <c r="BV180" i="34" s="1"/>
  <c r="BN7" i="34"/>
  <c r="BV7" i="34" s="1"/>
  <c r="BN30" i="34"/>
  <c r="BV30" i="34" s="1"/>
  <c r="CE72" i="34"/>
  <c r="CM72" i="34" s="1"/>
  <c r="CE200" i="34"/>
  <c r="CM200" i="34" s="1"/>
  <c r="CE45" i="34"/>
  <c r="CM45" i="34" s="1"/>
  <c r="CE11" i="34"/>
  <c r="CM11" i="34" s="1"/>
  <c r="BN72" i="34"/>
  <c r="BV72" i="34" s="1"/>
  <c r="AW171" i="34"/>
  <c r="BE171" i="34" s="1"/>
  <c r="AW200" i="34"/>
  <c r="BE200" i="34" s="1"/>
  <c r="CE205" i="34"/>
  <c r="CM205" i="34" s="1"/>
  <c r="AF205" i="34"/>
  <c r="AN205" i="34" s="1"/>
  <c r="O71" i="34"/>
  <c r="O167" i="34"/>
  <c r="O205" i="34"/>
  <c r="O26" i="34"/>
  <c r="O33" i="34"/>
  <c r="AF116" i="34"/>
  <c r="AN116" i="34" s="1"/>
  <c r="AF200" i="34"/>
  <c r="AN200" i="34" s="1"/>
  <c r="AF196" i="34"/>
  <c r="AN196" i="34" s="1"/>
  <c r="AF229" i="34"/>
  <c r="AN229" i="34" s="1"/>
  <c r="AF231" i="34"/>
  <c r="AN231" i="34" s="1"/>
  <c r="AF26" i="34"/>
  <c r="AN26" i="34" s="1"/>
  <c r="AF33" i="34"/>
  <c r="AN33" i="34" s="1"/>
  <c r="AW74" i="34"/>
  <c r="BE74" i="34" s="1"/>
  <c r="AW225" i="34"/>
  <c r="BE225" i="34" s="1"/>
  <c r="AW19" i="34"/>
  <c r="BE19" i="34" s="1"/>
  <c r="AW26" i="34"/>
  <c r="BE26" i="34" s="1"/>
  <c r="BN155" i="34"/>
  <c r="BV155" i="34" s="1"/>
  <c r="BN169" i="34"/>
  <c r="BV169" i="34" s="1"/>
  <c r="BN196" i="34"/>
  <c r="BV196" i="34" s="1"/>
  <c r="BN215" i="34"/>
  <c r="BV215" i="34" s="1"/>
  <c r="BN231" i="34"/>
  <c r="BV231" i="34" s="1"/>
  <c r="CE50" i="34"/>
  <c r="CM50" i="34" s="1"/>
  <c r="CE211" i="34"/>
  <c r="CM211" i="34" s="1"/>
  <c r="AF71" i="34"/>
  <c r="AN71" i="34" s="1"/>
  <c r="O91" i="34"/>
  <c r="O84" i="34"/>
  <c r="O169" i="34"/>
  <c r="AF100" i="34"/>
  <c r="AN100" i="34" s="1"/>
  <c r="AF132" i="34"/>
  <c r="AN132" i="34" s="1"/>
  <c r="AF177" i="34"/>
  <c r="AN177" i="34" s="1"/>
  <c r="AW105" i="34"/>
  <c r="BE105" i="34" s="1"/>
  <c r="AW132" i="34"/>
  <c r="BE132" i="34" s="1"/>
  <c r="AW149" i="34"/>
  <c r="BE149" i="34" s="1"/>
  <c r="AW194" i="34"/>
  <c r="BE194" i="34" s="1"/>
  <c r="BN73" i="34"/>
  <c r="BV73" i="34" s="1"/>
  <c r="BN145" i="34"/>
  <c r="BV145" i="34" s="1"/>
  <c r="BN177" i="34"/>
  <c r="BV177" i="34" s="1"/>
  <c r="CE100" i="34"/>
  <c r="CM100" i="34" s="1"/>
  <c r="CE137" i="34"/>
  <c r="CM137" i="34" s="1"/>
  <c r="AW91" i="34"/>
  <c r="BE91" i="34" s="1"/>
  <c r="O77" i="34"/>
  <c r="O73" i="34"/>
  <c r="O112" i="34"/>
  <c r="O108" i="34"/>
  <c r="O105" i="34"/>
  <c r="O131" i="34"/>
  <c r="O137" i="34"/>
  <c r="O144" i="34"/>
  <c r="O149" i="34"/>
  <c r="O154" i="34"/>
  <c r="O211" i="34"/>
  <c r="O194" i="34"/>
  <c r="O177" i="34"/>
  <c r="O182" i="34"/>
  <c r="O215" i="34"/>
  <c r="O235" i="34"/>
  <c r="O28" i="34"/>
  <c r="O30" i="34"/>
  <c r="AF81" i="34"/>
  <c r="AN81" i="34" s="1"/>
  <c r="AF91" i="34"/>
  <c r="AN91" i="34" s="1"/>
  <c r="AF93" i="34"/>
  <c r="AN93" i="34" s="1"/>
  <c r="AF105" i="34"/>
  <c r="AN105" i="34" s="1"/>
  <c r="AF108" i="34"/>
  <c r="AN108" i="34" s="1"/>
  <c r="AF112" i="34"/>
  <c r="AN112" i="34" s="1"/>
  <c r="AF115" i="34"/>
  <c r="AN115" i="34" s="1"/>
  <c r="AF137" i="34"/>
  <c r="AN137" i="34" s="1"/>
  <c r="AF149" i="34"/>
  <c r="AN149" i="34" s="1"/>
  <c r="AF169" i="34"/>
  <c r="AN169" i="34" s="1"/>
  <c r="AF208" i="34"/>
  <c r="AN208" i="34" s="1"/>
  <c r="AF193" i="34"/>
  <c r="AN193" i="34" s="1"/>
  <c r="AF186" i="34"/>
  <c r="AN186" i="34" s="1"/>
  <c r="AF215" i="34"/>
  <c r="AN215" i="34" s="1"/>
  <c r="AF42" i="34"/>
  <c r="AN42" i="34" s="1"/>
  <c r="AF19" i="34"/>
  <c r="AN19" i="34" s="1"/>
  <c r="AF30" i="34"/>
  <c r="AN30" i="34" s="1"/>
  <c r="AW66" i="34"/>
  <c r="BE66" i="34" s="1"/>
  <c r="AW96" i="34"/>
  <c r="BE96" i="34" s="1"/>
  <c r="AW104" i="34"/>
  <c r="BE104" i="34" s="1"/>
  <c r="AW109" i="34"/>
  <c r="BE109" i="34" s="1"/>
  <c r="AW116" i="34"/>
  <c r="BE116" i="34" s="1"/>
  <c r="AW137" i="34"/>
  <c r="BE137" i="34" s="1"/>
  <c r="AW154" i="34"/>
  <c r="BE154" i="34" s="1"/>
  <c r="AW208" i="34"/>
  <c r="BE208" i="34" s="1"/>
  <c r="AW177" i="34"/>
  <c r="BE177" i="34" s="1"/>
  <c r="AW183" i="34"/>
  <c r="BE183" i="34" s="1"/>
  <c r="AW53" i="34"/>
  <c r="BE53" i="34" s="1"/>
  <c r="AW227" i="34"/>
  <c r="BE227" i="34" s="1"/>
  <c r="AW229" i="34"/>
  <c r="BE229" i="34" s="1"/>
  <c r="AW7" i="34"/>
  <c r="BE7" i="34" s="1"/>
  <c r="AW15" i="34"/>
  <c r="BE15" i="34" s="1"/>
  <c r="AW30" i="34"/>
  <c r="BE30" i="34" s="1"/>
  <c r="BN74" i="34"/>
  <c r="BV74" i="34" s="1"/>
  <c r="BN84" i="34"/>
  <c r="BV84" i="34" s="1"/>
  <c r="BN87" i="34"/>
  <c r="BV87" i="34" s="1"/>
  <c r="BN91" i="34"/>
  <c r="BV91" i="34" s="1"/>
  <c r="BN105" i="34"/>
  <c r="BV105" i="34" s="1"/>
  <c r="BN110" i="34"/>
  <c r="BV110" i="34" s="1"/>
  <c r="BN116" i="34"/>
  <c r="BV116" i="34" s="1"/>
  <c r="BN136" i="34"/>
  <c r="BV136" i="34" s="1"/>
  <c r="BN149" i="34"/>
  <c r="BV149" i="34" s="1"/>
  <c r="BN193" i="34"/>
  <c r="BV193" i="34" s="1"/>
  <c r="BN186" i="34"/>
  <c r="BV186" i="34" s="1"/>
  <c r="BN48" i="34"/>
  <c r="BV48" i="34" s="1"/>
  <c r="BN53" i="34"/>
  <c r="BV53" i="34" s="1"/>
  <c r="BN227" i="34"/>
  <c r="BV227" i="34" s="1"/>
  <c r="BN235" i="34"/>
  <c r="BV235" i="34" s="1"/>
  <c r="BN15" i="34"/>
  <c r="BV15" i="34" s="1"/>
  <c r="BN35" i="34"/>
  <c r="BV35" i="34" s="1"/>
  <c r="CE66" i="34"/>
  <c r="CM66" i="34" s="1"/>
  <c r="CE77" i="34"/>
  <c r="CM77" i="34" s="1"/>
  <c r="CE86" i="34"/>
  <c r="CM86" i="34" s="1"/>
  <c r="CE96" i="34"/>
  <c r="CM96" i="34" s="1"/>
  <c r="CE117" i="34"/>
  <c r="CM117" i="34" s="1"/>
  <c r="CE136" i="34"/>
  <c r="CM136" i="34" s="1"/>
  <c r="CE148" i="34"/>
  <c r="CM148" i="34" s="1"/>
  <c r="CE169" i="34"/>
  <c r="CM169" i="34" s="1"/>
  <c r="CE172" i="34"/>
  <c r="CM172" i="34" s="1"/>
  <c r="CE53" i="34"/>
  <c r="CM53" i="34" s="1"/>
  <c r="CE225" i="34"/>
  <c r="CM225" i="34" s="1"/>
  <c r="CE231" i="34"/>
  <c r="CM231" i="34" s="1"/>
  <c r="AW71" i="34"/>
  <c r="BE71" i="34" s="1"/>
  <c r="O66" i="34"/>
  <c r="BN112" i="34"/>
  <c r="BV112" i="34" s="1"/>
  <c r="BN132" i="34"/>
  <c r="BV132" i="34" s="1"/>
  <c r="CE87" i="34"/>
  <c r="CM87" i="34" s="1"/>
  <c r="AW73" i="34"/>
  <c r="BE73" i="34" s="1"/>
  <c r="BN77" i="34"/>
  <c r="BV77" i="34" s="1"/>
  <c r="AW77" i="34"/>
  <c r="BE77" i="34" s="1"/>
  <c r="O100" i="34"/>
  <c r="O93" i="34"/>
  <c r="O70" i="34"/>
  <c r="O116" i="34"/>
  <c r="O180" i="34"/>
  <c r="O186" i="34"/>
  <c r="O227" i="34"/>
  <c r="O7" i="34"/>
  <c r="O15" i="34"/>
  <c r="O35" i="34"/>
  <c r="AF84" i="34"/>
  <c r="AN84" i="34" s="1"/>
  <c r="AF155" i="34"/>
  <c r="AN155" i="34" s="1"/>
  <c r="AF203" i="34"/>
  <c r="AN203" i="34" s="1"/>
  <c r="AF159" i="34"/>
  <c r="AN159" i="34" s="1"/>
  <c r="AF35" i="34"/>
  <c r="AN35" i="34" s="1"/>
  <c r="AW115" i="34"/>
  <c r="BE115" i="34" s="1"/>
  <c r="AW145" i="34"/>
  <c r="BE145" i="34" s="1"/>
  <c r="AW155" i="34"/>
  <c r="BE155" i="34" s="1"/>
  <c r="AW42" i="34"/>
  <c r="BE42" i="34" s="1"/>
  <c r="AW48" i="34"/>
  <c r="BE48" i="34" s="1"/>
  <c r="BN159" i="34"/>
  <c r="BV159" i="34" s="1"/>
  <c r="BN42" i="34"/>
  <c r="BV42" i="34" s="1"/>
  <c r="CE84" i="34"/>
  <c r="CM84" i="34" s="1"/>
  <c r="CE203" i="34"/>
  <c r="CM203" i="34" s="1"/>
  <c r="CE180" i="34"/>
  <c r="CM180" i="34" s="1"/>
  <c r="CE187" i="34"/>
  <c r="CM187" i="34" s="1"/>
  <c r="AW187" i="34"/>
  <c r="BE187" i="34" s="1"/>
  <c r="AW218" i="34"/>
  <c r="BE218" i="34" s="1"/>
  <c r="CE218" i="34"/>
  <c r="CM218" i="34" s="1"/>
  <c r="AF218" i="34"/>
  <c r="AN218" i="34" s="1"/>
  <c r="O218" i="34"/>
  <c r="BN218" i="34"/>
  <c r="BV218" i="34" s="1"/>
  <c r="AW220" i="34"/>
  <c r="BE220" i="34" s="1"/>
  <c r="CE220" i="34"/>
  <c r="CM220" i="34" s="1"/>
  <c r="AF220" i="34"/>
  <c r="AN220" i="34" s="1"/>
  <c r="BN220" i="34"/>
  <c r="BV220" i="34" s="1"/>
  <c r="O220" i="34"/>
  <c r="BN43" i="34"/>
  <c r="BV43" i="34" s="1"/>
  <c r="O43" i="34"/>
  <c r="AF43" i="34"/>
  <c r="AN43" i="34" s="1"/>
  <c r="CE43" i="34"/>
  <c r="CM43" i="34" s="1"/>
  <c r="AW43" i="34"/>
  <c r="BE43" i="34" s="1"/>
  <c r="AW49" i="34"/>
  <c r="BE49" i="34" s="1"/>
  <c r="CE49" i="34"/>
  <c r="CM49" i="34" s="1"/>
  <c r="AF49" i="34"/>
  <c r="AN49" i="34" s="1"/>
  <c r="BN49" i="34"/>
  <c r="BV49" i="34" s="1"/>
  <c r="O49" i="34"/>
  <c r="AW54" i="34"/>
  <c r="BE54" i="34" s="1"/>
  <c r="O54" i="34"/>
  <c r="CE54" i="34"/>
  <c r="CM54" i="34" s="1"/>
  <c r="BN54" i="34"/>
  <c r="BV54" i="34" s="1"/>
  <c r="CE228" i="34"/>
  <c r="CM228" i="34" s="1"/>
  <c r="AW228" i="34"/>
  <c r="BE228" i="34" s="1"/>
  <c r="AF228" i="34"/>
  <c r="AN228" i="34" s="1"/>
  <c r="O228" i="34"/>
  <c r="BN228" i="34"/>
  <c r="BV228" i="34" s="1"/>
  <c r="CE232" i="34"/>
  <c r="CM232" i="34" s="1"/>
  <c r="AW232" i="34"/>
  <c r="BE232" i="34" s="1"/>
  <c r="AF232" i="34"/>
  <c r="AN232" i="34" s="1"/>
  <c r="BN232" i="34"/>
  <c r="BV232" i="34" s="1"/>
  <c r="O232" i="34"/>
  <c r="CE236" i="34"/>
  <c r="CM236" i="34" s="1"/>
  <c r="AW236" i="34"/>
  <c r="BE236" i="34" s="1"/>
  <c r="AF236" i="34"/>
  <c r="AN236" i="34" s="1"/>
  <c r="O236" i="34"/>
  <c r="BN8" i="34"/>
  <c r="BV8" i="34" s="1"/>
  <c r="O8" i="34"/>
  <c r="AW8" i="34"/>
  <c r="BE8" i="34" s="1"/>
  <c r="AF8" i="34"/>
  <c r="AN8" i="34" s="1"/>
  <c r="CE8" i="34"/>
  <c r="CM8" i="34" s="1"/>
  <c r="BN12" i="34"/>
  <c r="BV12" i="34" s="1"/>
  <c r="CE12" i="34"/>
  <c r="CM12" i="34" s="1"/>
  <c r="O12" i="34"/>
  <c r="BN16" i="34"/>
  <c r="BV16" i="34" s="1"/>
  <c r="O16" i="34"/>
  <c r="AW16" i="34"/>
  <c r="BE16" i="34" s="1"/>
  <c r="AF16" i="34"/>
  <c r="AN16" i="34" s="1"/>
  <c r="O20" i="34"/>
  <c r="BN20" i="34"/>
  <c r="BV20" i="34" s="1"/>
  <c r="CE20" i="34"/>
  <c r="CM20" i="34" s="1"/>
  <c r="AW20" i="34"/>
  <c r="BE20" i="34" s="1"/>
  <c r="AF20" i="34"/>
  <c r="AN20" i="34" s="1"/>
  <c r="AW27" i="34"/>
  <c r="BE27" i="34" s="1"/>
  <c r="CE27" i="34"/>
  <c r="CM27" i="34" s="1"/>
  <c r="AF27" i="34"/>
  <c r="AN27" i="34" s="1"/>
  <c r="O27" i="34"/>
  <c r="BN27" i="34"/>
  <c r="BV27" i="34" s="1"/>
  <c r="AW31" i="34"/>
  <c r="BE31" i="34" s="1"/>
  <c r="CE31" i="34"/>
  <c r="CM31" i="34" s="1"/>
  <c r="AF31" i="34"/>
  <c r="AN31" i="34" s="1"/>
  <c r="O31" i="34"/>
  <c r="BN31" i="34"/>
  <c r="BV31" i="34" s="1"/>
  <c r="AW36" i="34"/>
  <c r="BE36" i="34" s="1"/>
  <c r="CE36" i="34"/>
  <c r="CM36" i="34" s="1"/>
  <c r="AF36" i="34"/>
  <c r="AN36" i="34" s="1"/>
  <c r="O36" i="34"/>
  <c r="BN36" i="34"/>
  <c r="BV36" i="34" s="1"/>
  <c r="O244" i="34"/>
  <c r="W244" i="34" s="1"/>
  <c r="BN75" i="34"/>
  <c r="BV75" i="34" s="1"/>
  <c r="O75" i="34"/>
  <c r="AF75" i="34"/>
  <c r="AN75" i="34" s="1"/>
  <c r="CE75" i="34"/>
  <c r="CM75" i="34" s="1"/>
  <c r="AF95" i="34"/>
  <c r="AN95" i="34" s="1"/>
  <c r="AW95" i="34"/>
  <c r="BE95" i="34" s="1"/>
  <c r="O95" i="34"/>
  <c r="BN95" i="34"/>
  <c r="BV95" i="34" s="1"/>
  <c r="BN103" i="34"/>
  <c r="BV103" i="34" s="1"/>
  <c r="CE103" i="34"/>
  <c r="CM103" i="34" s="1"/>
  <c r="AW103" i="34"/>
  <c r="BE103" i="34" s="1"/>
  <c r="O103" i="34"/>
  <c r="BN107" i="34"/>
  <c r="BV107" i="34" s="1"/>
  <c r="CE107" i="34"/>
  <c r="CM107" i="34" s="1"/>
  <c r="AF107" i="34"/>
  <c r="AN107" i="34" s="1"/>
  <c r="BN114" i="34"/>
  <c r="BV114" i="34" s="1"/>
  <c r="CE114" i="34"/>
  <c r="CM114" i="34" s="1"/>
  <c r="AF114" i="34"/>
  <c r="AN114" i="34" s="1"/>
  <c r="AW114" i="34"/>
  <c r="BE114" i="34" s="1"/>
  <c r="O114" i="34"/>
  <c r="CE134" i="34"/>
  <c r="CM134" i="34" s="1"/>
  <c r="AW134" i="34"/>
  <c r="BE134" i="34" s="1"/>
  <c r="AF134" i="34"/>
  <c r="AN134" i="34" s="1"/>
  <c r="BN134" i="34"/>
  <c r="BV134" i="34" s="1"/>
  <c r="O134" i="34"/>
  <c r="CE140" i="34"/>
  <c r="CM140" i="34" s="1"/>
  <c r="O140" i="34"/>
  <c r="AW140" i="34"/>
  <c r="BE140" i="34" s="1"/>
  <c r="AF140" i="34"/>
  <c r="AN140" i="34" s="1"/>
  <c r="BN140" i="34"/>
  <c r="BV140" i="34" s="1"/>
  <c r="CE147" i="34"/>
  <c r="CM147" i="34" s="1"/>
  <c r="AW147" i="34"/>
  <c r="BE147" i="34" s="1"/>
  <c r="AF147" i="34"/>
  <c r="AN147" i="34" s="1"/>
  <c r="O147" i="34"/>
  <c r="CE153" i="34"/>
  <c r="CM153" i="34" s="1"/>
  <c r="AW153" i="34"/>
  <c r="BE153" i="34" s="1"/>
  <c r="AF153" i="34"/>
  <c r="AN153" i="34" s="1"/>
  <c r="BN153" i="34"/>
  <c r="BV153" i="34" s="1"/>
  <c r="O153" i="34"/>
  <c r="O195" i="34"/>
  <c r="AF195" i="34"/>
  <c r="AN195" i="34" s="1"/>
  <c r="BN195" i="34"/>
  <c r="BV195" i="34" s="1"/>
  <c r="AW195" i="34"/>
  <c r="BE195" i="34" s="1"/>
  <c r="CE195" i="34"/>
  <c r="CM195" i="34" s="1"/>
  <c r="CE160" i="34"/>
  <c r="CM160" i="34" s="1"/>
  <c r="O160" i="34"/>
  <c r="BN160" i="34"/>
  <c r="BV160" i="34" s="1"/>
  <c r="AW160" i="34"/>
  <c r="BE160" i="34" s="1"/>
  <c r="AF160" i="34"/>
  <c r="AN160" i="34" s="1"/>
  <c r="CE166" i="34"/>
  <c r="CM166" i="34" s="1"/>
  <c r="BN166" i="34"/>
  <c r="BV166" i="34" s="1"/>
  <c r="AF166" i="34"/>
  <c r="AN166" i="34" s="1"/>
  <c r="O166" i="34"/>
  <c r="AW166" i="34"/>
  <c r="BE166" i="34" s="1"/>
  <c r="CE176" i="34"/>
  <c r="CM176" i="34" s="1"/>
  <c r="BN176" i="34"/>
  <c r="BV176" i="34" s="1"/>
  <c r="AF176" i="34"/>
  <c r="AN176" i="34" s="1"/>
  <c r="AW176" i="34"/>
  <c r="BE176" i="34" s="1"/>
  <c r="O176" i="34"/>
  <c r="CE204" i="34"/>
  <c r="CM204" i="34" s="1"/>
  <c r="BN204" i="34"/>
  <c r="BV204" i="34" s="1"/>
  <c r="O204" i="34"/>
  <c r="AF204" i="34"/>
  <c r="AN204" i="34" s="1"/>
  <c r="AW204" i="34"/>
  <c r="BE204" i="34" s="1"/>
  <c r="O210" i="34"/>
  <c r="CE210" i="34"/>
  <c r="CM210" i="34" s="1"/>
  <c r="AW210" i="34"/>
  <c r="BE210" i="34" s="1"/>
  <c r="BN210" i="34"/>
  <c r="BV210" i="34" s="1"/>
  <c r="AW12" i="34"/>
  <c r="BE12" i="34" s="1"/>
  <c r="O107" i="34"/>
  <c r="O187" i="34"/>
  <c r="AF187" i="34"/>
  <c r="AN187" i="34" s="1"/>
  <c r="BN187" i="34"/>
  <c r="BV187" i="34" s="1"/>
  <c r="CE16" i="34"/>
  <c r="CM16" i="34" s="1"/>
  <c r="AF54" i="34"/>
  <c r="AN54" i="34" s="1"/>
  <c r="AW75" i="34"/>
  <c r="BE75" i="34" s="1"/>
  <c r="CE80" i="34"/>
  <c r="CM80" i="34" s="1"/>
  <c r="AW80" i="34"/>
  <c r="BE80" i="34" s="1"/>
  <c r="O94" i="34"/>
  <c r="AW94" i="34"/>
  <c r="BE94" i="34" s="1"/>
  <c r="AF106" i="34"/>
  <c r="AN106" i="34" s="1"/>
  <c r="O106" i="34"/>
  <c r="AW106" i="34"/>
  <c r="BE106" i="34" s="1"/>
  <c r="AF113" i="34"/>
  <c r="AN113" i="34" s="1"/>
  <c r="O113" i="34"/>
  <c r="AW113" i="34"/>
  <c r="BE113" i="34" s="1"/>
  <c r="CE133" i="34"/>
  <c r="CM133" i="34" s="1"/>
  <c r="BN133" i="34"/>
  <c r="BV133" i="34" s="1"/>
  <c r="CE146" i="34"/>
  <c r="CM146" i="34" s="1"/>
  <c r="BN146" i="34"/>
  <c r="BV146" i="34" s="1"/>
  <c r="O201" i="34"/>
  <c r="CE201" i="34"/>
  <c r="CM201" i="34" s="1"/>
  <c r="BN201" i="34"/>
  <c r="BV201" i="34" s="1"/>
  <c r="AF206" i="34"/>
  <c r="AN206" i="34" s="1"/>
  <c r="O206" i="34"/>
  <c r="CE209" i="34"/>
  <c r="CM209" i="34" s="1"/>
  <c r="BN209" i="34"/>
  <c r="BV209" i="34" s="1"/>
  <c r="AW209" i="34"/>
  <c r="BE209" i="34" s="1"/>
  <c r="AF209" i="34"/>
  <c r="AN209" i="34" s="1"/>
  <c r="BN179" i="34"/>
  <c r="BV179" i="34" s="1"/>
  <c r="AW179" i="34"/>
  <c r="BE179" i="34" s="1"/>
  <c r="AF179" i="34"/>
  <c r="AN179" i="34" s="1"/>
  <c r="CE68" i="34"/>
  <c r="CM68" i="34" s="1"/>
  <c r="BN68" i="34"/>
  <c r="AF68" i="34"/>
  <c r="AN68" i="34" s="1"/>
  <c r="O68" i="34"/>
  <c r="BN86" i="34"/>
  <c r="BV86" i="34" s="1"/>
  <c r="AF86" i="34"/>
  <c r="AN86" i="34" s="1"/>
  <c r="O90" i="34"/>
  <c r="CE90" i="34"/>
  <c r="CM90" i="34" s="1"/>
  <c r="AF90" i="34"/>
  <c r="AN90" i="34" s="1"/>
  <c r="BN168" i="34"/>
  <c r="BV168" i="34" s="1"/>
  <c r="AF168" i="34"/>
  <c r="AN168" i="34" s="1"/>
  <c r="O168" i="34"/>
  <c r="BN182" i="34"/>
  <c r="BV182" i="34" s="1"/>
  <c r="AF182" i="34"/>
  <c r="AN182" i="34" s="1"/>
  <c r="O117" i="34"/>
  <c r="O203" i="34"/>
  <c r="AF80" i="34"/>
  <c r="AN80" i="34" s="1"/>
  <c r="AF94" i="34"/>
  <c r="AN94" i="34" s="1"/>
  <c r="AW146" i="34"/>
  <c r="BE146" i="34" s="1"/>
  <c r="AW159" i="34"/>
  <c r="BE159" i="34" s="1"/>
  <c r="CE159" i="34"/>
  <c r="BN69" i="34"/>
  <c r="BV69" i="34" s="1"/>
  <c r="O69" i="34"/>
  <c r="AW69" i="34"/>
  <c r="BE69" i="34" s="1"/>
  <c r="AF101" i="34"/>
  <c r="AN101" i="34" s="1"/>
  <c r="O101" i="34"/>
  <c r="AW101" i="34"/>
  <c r="BE101" i="34" s="1"/>
  <c r="AF117" i="34"/>
  <c r="AN117" i="34" s="1"/>
  <c r="AW117" i="34"/>
  <c r="BE117" i="34" s="1"/>
  <c r="CE139" i="34"/>
  <c r="CM139" i="34" s="1"/>
  <c r="BN139" i="34"/>
  <c r="BV139" i="34" s="1"/>
  <c r="O139" i="34"/>
  <c r="O152" i="34"/>
  <c r="CE152" i="34"/>
  <c r="CM152" i="34" s="1"/>
  <c r="BN152" i="34"/>
  <c r="BV152" i="34" s="1"/>
  <c r="CE162" i="34"/>
  <c r="CM162" i="34" s="1"/>
  <c r="AW162" i="34"/>
  <c r="BE162" i="34" s="1"/>
  <c r="O162" i="34"/>
  <c r="BN162" i="34"/>
  <c r="BV162" i="34" s="1"/>
  <c r="AF162" i="34"/>
  <c r="AN162" i="34" s="1"/>
  <c r="AW167" i="34"/>
  <c r="BE167" i="34" s="1"/>
  <c r="BN167" i="34"/>
  <c r="BV167" i="34" s="1"/>
  <c r="CE171" i="34"/>
  <c r="CM171" i="34" s="1"/>
  <c r="BN171" i="34"/>
  <c r="BV171" i="34" s="1"/>
  <c r="AF171" i="34"/>
  <c r="AN171" i="34" s="1"/>
  <c r="AW188" i="34"/>
  <c r="BE188" i="34" s="1"/>
  <c r="CE188" i="34"/>
  <c r="CM188" i="34" s="1"/>
  <c r="BN188" i="34"/>
  <c r="BV188" i="34" s="1"/>
  <c r="AF188" i="34"/>
  <c r="AN188" i="34" s="1"/>
  <c r="O188" i="34"/>
  <c r="BN221" i="34"/>
  <c r="BV221" i="34" s="1"/>
  <c r="O221" i="34"/>
  <c r="O45" i="34"/>
  <c r="AW45" i="34"/>
  <c r="BE45" i="34" s="1"/>
  <c r="BN50" i="34"/>
  <c r="BV50" i="34" s="1"/>
  <c r="O50" i="34"/>
  <c r="O233" i="34"/>
  <c r="BN233" i="34"/>
  <c r="BV233" i="34" s="1"/>
  <c r="BN237" i="34"/>
  <c r="BV237" i="34" s="1"/>
  <c r="O237" i="34"/>
  <c r="AW9" i="34"/>
  <c r="BE9" i="34" s="1"/>
  <c r="O9" i="34"/>
  <c r="CE9" i="34"/>
  <c r="CM9" i="34" s="1"/>
  <c r="AF9" i="34"/>
  <c r="AN9" i="34" s="1"/>
  <c r="AW13" i="34"/>
  <c r="BE13" i="34" s="1"/>
  <c r="O13" i="34"/>
  <c r="CE13" i="34"/>
  <c r="CM13" i="34" s="1"/>
  <c r="AF13" i="34"/>
  <c r="AN13" i="34" s="1"/>
  <c r="AW17" i="34"/>
  <c r="BE17" i="34" s="1"/>
  <c r="CE17" i="34"/>
  <c r="CM17" i="34" s="1"/>
  <c r="AF17" i="34"/>
  <c r="AN17" i="34" s="1"/>
  <c r="O17" i="34"/>
  <c r="AW21" i="34"/>
  <c r="BE21" i="34" s="1"/>
  <c r="CE21" i="34"/>
  <c r="CM21" i="34" s="1"/>
  <c r="AF21" i="34"/>
  <c r="AN21" i="34" s="1"/>
  <c r="BN28" i="34"/>
  <c r="BV28" i="34" s="1"/>
  <c r="AW28" i="34"/>
  <c r="BE28" i="34" s="1"/>
  <c r="BN33" i="34"/>
  <c r="BV33" i="34" s="1"/>
  <c r="AW33" i="34"/>
  <c r="BE33" i="34" s="1"/>
  <c r="BN37" i="34"/>
  <c r="BV37" i="34" s="1"/>
  <c r="AW37" i="34"/>
  <c r="BE37" i="34" s="1"/>
  <c r="O80" i="34"/>
  <c r="O133" i="34"/>
  <c r="O146" i="34"/>
  <c r="AF146" i="34"/>
  <c r="AN146" i="34" s="1"/>
  <c r="AW152" i="34"/>
  <c r="BE152" i="34" s="1"/>
  <c r="BN106" i="34"/>
  <c r="BV106" i="34" s="1"/>
  <c r="BN203" i="34"/>
  <c r="BV203" i="34" s="1"/>
  <c r="BN206" i="34"/>
  <c r="BV206" i="34" s="1"/>
  <c r="CE113" i="34"/>
  <c r="CM113" i="34" s="1"/>
  <c r="AW86" i="34"/>
  <c r="BE86" i="34" s="1"/>
  <c r="BN90" i="34"/>
  <c r="BV90" i="34" s="1"/>
  <c r="CR245" i="34" l="1"/>
  <c r="CP189" i="34"/>
  <c r="BN273" i="34"/>
  <c r="BV273" i="34"/>
  <c r="CR244" i="34"/>
  <c r="CR246" i="34"/>
  <c r="O57" i="34"/>
  <c r="CR230" i="34"/>
  <c r="BE268" i="34"/>
  <c r="BE265" i="34"/>
  <c r="O273" i="34"/>
  <c r="BE260" i="34"/>
  <c r="CR172" i="34"/>
  <c r="O268" i="34"/>
  <c r="CP85" i="34"/>
  <c r="CP25" i="34"/>
  <c r="CP146" i="34"/>
  <c r="W146" i="34"/>
  <c r="CR146" i="34" s="1"/>
  <c r="CP139" i="34"/>
  <c r="W139" i="34"/>
  <c r="CR139" i="34" s="1"/>
  <c r="CP168" i="34"/>
  <c r="W168" i="34"/>
  <c r="CR168" i="34" s="1"/>
  <c r="CP106" i="34"/>
  <c r="W106" i="34"/>
  <c r="CR106" i="34" s="1"/>
  <c r="CP107" i="34"/>
  <c r="W107" i="34"/>
  <c r="CR107" i="34" s="1"/>
  <c r="CP36" i="34"/>
  <c r="W36" i="34"/>
  <c r="CR36" i="34" s="1"/>
  <c r="CP7" i="34"/>
  <c r="W7" i="34"/>
  <c r="CR7" i="34" s="1"/>
  <c r="CP117" i="34"/>
  <c r="W117" i="34"/>
  <c r="CR117" i="34" s="1"/>
  <c r="CP90" i="34"/>
  <c r="W90" i="34"/>
  <c r="CR90" i="34" s="1"/>
  <c r="CP31" i="34"/>
  <c r="W31" i="34"/>
  <c r="CR31" i="34" s="1"/>
  <c r="W228" i="34"/>
  <c r="CR228" i="34" s="1"/>
  <c r="CP228" i="34"/>
  <c r="W218" i="34"/>
  <c r="CR218" i="34" s="1"/>
  <c r="CP218" i="34"/>
  <c r="W227" i="34"/>
  <c r="CR227" i="34" s="1"/>
  <c r="CP227" i="34"/>
  <c r="CP70" i="34"/>
  <c r="W70" i="34"/>
  <c r="CR70" i="34" s="1"/>
  <c r="W215" i="34"/>
  <c r="CR215" i="34" s="1"/>
  <c r="CP215" i="34"/>
  <c r="CP112" i="34"/>
  <c r="W112" i="34"/>
  <c r="CR112" i="34" s="1"/>
  <c r="W205" i="34"/>
  <c r="CR205" i="34" s="1"/>
  <c r="CP205" i="34"/>
  <c r="CP74" i="34"/>
  <c r="W74" i="34"/>
  <c r="CR74" i="34" s="1"/>
  <c r="CP42" i="34"/>
  <c r="W42" i="34"/>
  <c r="CR42" i="34" s="1"/>
  <c r="CP148" i="34"/>
  <c r="W148" i="34"/>
  <c r="CR148" i="34" s="1"/>
  <c r="CP104" i="34"/>
  <c r="W104" i="34"/>
  <c r="CR104" i="34" s="1"/>
  <c r="CP132" i="34"/>
  <c r="W132" i="34"/>
  <c r="CR132" i="34" s="1"/>
  <c r="CR18" i="34"/>
  <c r="CP13" i="34"/>
  <c r="W13" i="34"/>
  <c r="CR13" i="34" s="1"/>
  <c r="CP27" i="34"/>
  <c r="W27" i="34"/>
  <c r="CR27" i="34" s="1"/>
  <c r="CP20" i="34"/>
  <c r="W20" i="34"/>
  <c r="CR20" i="34" s="1"/>
  <c r="CP35" i="34"/>
  <c r="W35" i="34"/>
  <c r="CR35" i="34" s="1"/>
  <c r="W186" i="34"/>
  <c r="CR186" i="34" s="1"/>
  <c r="CP186" i="34"/>
  <c r="CP93" i="34"/>
  <c r="W93" i="34"/>
  <c r="CR93" i="34" s="1"/>
  <c r="CP66" i="34"/>
  <c r="W66" i="34"/>
  <c r="CR66" i="34" s="1"/>
  <c r="CP30" i="34"/>
  <c r="W30" i="34"/>
  <c r="CR30" i="34" s="1"/>
  <c r="W182" i="34"/>
  <c r="CR182" i="34" s="1"/>
  <c r="CP182" i="34"/>
  <c r="CP154" i="34"/>
  <c r="W154" i="34"/>
  <c r="CR154" i="34" s="1"/>
  <c r="CP131" i="34"/>
  <c r="W131" i="34"/>
  <c r="CR131" i="34" s="1"/>
  <c r="CP73" i="34"/>
  <c r="W73" i="34"/>
  <c r="CR73" i="34" s="1"/>
  <c r="CP84" i="34"/>
  <c r="W84" i="34"/>
  <c r="CR84" i="34" s="1"/>
  <c r="CP167" i="34"/>
  <c r="W167" i="34"/>
  <c r="CR167" i="34" s="1"/>
  <c r="CP37" i="34"/>
  <c r="W37" i="34"/>
  <c r="CR37" i="34" s="1"/>
  <c r="CP88" i="34"/>
  <c r="W88" i="34"/>
  <c r="CR88" i="34" s="1"/>
  <c r="CP161" i="34"/>
  <c r="W161" i="34"/>
  <c r="CR161" i="34" s="1"/>
  <c r="BE264" i="34"/>
  <c r="W234" i="34"/>
  <c r="CR234" i="34" s="1"/>
  <c r="CP234" i="34"/>
  <c r="CP38" i="34"/>
  <c r="W38" i="34"/>
  <c r="CR38" i="34" s="1"/>
  <c r="CP87" i="34"/>
  <c r="W87" i="34"/>
  <c r="CR87" i="34" s="1"/>
  <c r="CP159" i="34"/>
  <c r="W159" i="34"/>
  <c r="CP21" i="34"/>
  <c r="W21" i="34"/>
  <c r="CR21" i="34" s="1"/>
  <c r="CP53" i="34"/>
  <c r="W53" i="34"/>
  <c r="CR53" i="34" s="1"/>
  <c r="CP229" i="34"/>
  <c r="CR72" i="34"/>
  <c r="CP18" i="34"/>
  <c r="CP172" i="34"/>
  <c r="CR155" i="34"/>
  <c r="CP238" i="34"/>
  <c r="W237" i="34"/>
  <c r="CP237" i="34"/>
  <c r="W221" i="34"/>
  <c r="CR221" i="34" s="1"/>
  <c r="CP221" i="34"/>
  <c r="W204" i="34"/>
  <c r="CR204" i="34" s="1"/>
  <c r="CP204" i="34"/>
  <c r="CP75" i="34"/>
  <c r="W75" i="34"/>
  <c r="CR75" i="34" s="1"/>
  <c r="CP116" i="34"/>
  <c r="W116" i="34"/>
  <c r="CR116" i="34" s="1"/>
  <c r="CP133" i="34"/>
  <c r="W133" i="34"/>
  <c r="CR133" i="34" s="1"/>
  <c r="CP69" i="34"/>
  <c r="W69" i="34"/>
  <c r="CR69" i="34" s="1"/>
  <c r="CP113" i="34"/>
  <c r="W113" i="34"/>
  <c r="CR113" i="34" s="1"/>
  <c r="W210" i="34"/>
  <c r="CP210" i="34"/>
  <c r="CP166" i="34"/>
  <c r="W166" i="34"/>
  <c r="CR166" i="34" s="1"/>
  <c r="CP134" i="34"/>
  <c r="W134" i="34"/>
  <c r="CR134" i="34" s="1"/>
  <c r="CP16" i="34"/>
  <c r="W16" i="34"/>
  <c r="CR16" i="34" s="1"/>
  <c r="CP8" i="34"/>
  <c r="W8" i="34"/>
  <c r="CR8" i="34" s="1"/>
  <c r="CP49" i="34"/>
  <c r="W49" i="34"/>
  <c r="CR49" i="34" s="1"/>
  <c r="CP43" i="34"/>
  <c r="W43" i="34"/>
  <c r="CR43" i="34" s="1"/>
  <c r="W211" i="34"/>
  <c r="CR211" i="34" s="1"/>
  <c r="CP211" i="34"/>
  <c r="CP137" i="34"/>
  <c r="W137" i="34"/>
  <c r="CR137" i="34" s="1"/>
  <c r="CP169" i="34"/>
  <c r="W169" i="34"/>
  <c r="CR169" i="34" s="1"/>
  <c r="W243" i="34"/>
  <c r="CP81" i="34"/>
  <c r="W81" i="34"/>
  <c r="CR81" i="34" s="1"/>
  <c r="CP10" i="34"/>
  <c r="W10" i="34"/>
  <c r="CR10" i="34" s="1"/>
  <c r="CP110" i="34"/>
  <c r="W110" i="34"/>
  <c r="CR110" i="34" s="1"/>
  <c r="BV26" i="34"/>
  <c r="BV260" i="34" s="1"/>
  <c r="CP209" i="34"/>
  <c r="CP226" i="34"/>
  <c r="CP80" i="34"/>
  <c r="W80" i="34"/>
  <c r="CR80" i="34" s="1"/>
  <c r="CP9" i="34"/>
  <c r="W9" i="34"/>
  <c r="CR9" i="34" s="1"/>
  <c r="W188" i="34"/>
  <c r="CR188" i="34" s="1"/>
  <c r="CP188" i="34"/>
  <c r="CP162" i="34"/>
  <c r="W162" i="34"/>
  <c r="CR162" i="34" s="1"/>
  <c r="CP101" i="34"/>
  <c r="W101" i="34"/>
  <c r="CR101" i="34" s="1"/>
  <c r="BV68" i="34"/>
  <c r="BV262" i="34" s="1"/>
  <c r="W195" i="34"/>
  <c r="CP195" i="34"/>
  <c r="CP114" i="34"/>
  <c r="W114" i="34"/>
  <c r="CR114" i="34" s="1"/>
  <c r="CP103" i="34"/>
  <c r="W103" i="34"/>
  <c r="CR103" i="34" s="1"/>
  <c r="W233" i="34"/>
  <c r="CR233" i="34" s="1"/>
  <c r="CP233" i="34"/>
  <c r="CP45" i="34"/>
  <c r="W45" i="34"/>
  <c r="CR45" i="34" s="1"/>
  <c r="CP152" i="34"/>
  <c r="W152" i="34"/>
  <c r="CR152" i="34" s="1"/>
  <c r="CM159" i="34"/>
  <c r="CM268" i="34" s="1"/>
  <c r="CR209" i="34"/>
  <c r="W206" i="34"/>
  <c r="CR206" i="34" s="1"/>
  <c r="CP206" i="34"/>
  <c r="W201" i="34"/>
  <c r="CR201" i="34" s="1"/>
  <c r="CP201" i="34"/>
  <c r="CP94" i="34"/>
  <c r="W94" i="34"/>
  <c r="CR94" i="34" s="1"/>
  <c r="W187" i="34"/>
  <c r="CR187" i="34" s="1"/>
  <c r="CP187" i="34"/>
  <c r="W176" i="34"/>
  <c r="CR176" i="34" s="1"/>
  <c r="CP176" i="34"/>
  <c r="CM266" i="34"/>
  <c r="CP153" i="34"/>
  <c r="W153" i="34"/>
  <c r="CR153" i="34" s="1"/>
  <c r="CP140" i="34"/>
  <c r="W140" i="34"/>
  <c r="CR140" i="34" s="1"/>
  <c r="CP95" i="34"/>
  <c r="W95" i="34"/>
  <c r="CR95" i="34" s="1"/>
  <c r="CP12" i="34"/>
  <c r="W12" i="34"/>
  <c r="CR12" i="34" s="1"/>
  <c r="W236" i="34"/>
  <c r="CR236" i="34" s="1"/>
  <c r="CP236" i="34"/>
  <c r="W232" i="34"/>
  <c r="CR232" i="34" s="1"/>
  <c r="CP232" i="34"/>
  <c r="CP54" i="34"/>
  <c r="W54" i="34"/>
  <c r="CR54" i="34" s="1"/>
  <c r="W220" i="34"/>
  <c r="CR220" i="34" s="1"/>
  <c r="CP220" i="34"/>
  <c r="CP15" i="34"/>
  <c r="W15" i="34"/>
  <c r="CR15" i="34" s="1"/>
  <c r="W180" i="34"/>
  <c r="CR180" i="34" s="1"/>
  <c r="CP180" i="34"/>
  <c r="CP100" i="34"/>
  <c r="W100" i="34"/>
  <c r="CR100" i="34" s="1"/>
  <c r="BE259" i="34"/>
  <c r="CP28" i="34"/>
  <c r="W28" i="34"/>
  <c r="CR28" i="34" s="1"/>
  <c r="W177" i="34"/>
  <c r="CR177" i="34" s="1"/>
  <c r="CP177" i="34"/>
  <c r="CP149" i="34"/>
  <c r="W149" i="34"/>
  <c r="CR149" i="34" s="1"/>
  <c r="CP105" i="34"/>
  <c r="W105" i="34"/>
  <c r="CR105" i="34" s="1"/>
  <c r="CP77" i="34"/>
  <c r="W77" i="34"/>
  <c r="CR77" i="34" s="1"/>
  <c r="CP91" i="34"/>
  <c r="W91" i="34"/>
  <c r="CR91" i="34" s="1"/>
  <c r="CP33" i="34"/>
  <c r="W33" i="34"/>
  <c r="CR33" i="34" s="1"/>
  <c r="CP71" i="34"/>
  <c r="W71" i="34"/>
  <c r="CR71" i="34" s="1"/>
  <c r="CR178" i="34"/>
  <c r="CP11" i="34"/>
  <c r="W11" i="34"/>
  <c r="CR11" i="34" s="1"/>
  <c r="W208" i="34"/>
  <c r="CR208" i="34" s="1"/>
  <c r="CP208" i="34"/>
  <c r="W231" i="34"/>
  <c r="CR231" i="34" s="1"/>
  <c r="CP231" i="34"/>
  <c r="W179" i="34"/>
  <c r="CP179" i="34"/>
  <c r="CP52" i="34"/>
  <c r="W52" i="34"/>
  <c r="CR52" i="34" s="1"/>
  <c r="W196" i="34"/>
  <c r="CR196" i="34" s="1"/>
  <c r="CP196" i="34"/>
  <c r="CP136" i="34"/>
  <c r="W136" i="34"/>
  <c r="CR136" i="34" s="1"/>
  <c r="CP29" i="34"/>
  <c r="W29" i="34"/>
  <c r="CR29" i="34" s="1"/>
  <c r="W219" i="34"/>
  <c r="CR219" i="34" s="1"/>
  <c r="CP219" i="34"/>
  <c r="CP86" i="34"/>
  <c r="W86" i="34"/>
  <c r="CR86" i="34" s="1"/>
  <c r="BE263" i="34"/>
  <c r="W183" i="34"/>
  <c r="CR183" i="34" s="1"/>
  <c r="CP183" i="34"/>
  <c r="CP109" i="34"/>
  <c r="W109" i="34"/>
  <c r="CR109" i="34" s="1"/>
  <c r="CP72" i="34"/>
  <c r="CP230" i="34"/>
  <c r="CP155" i="34"/>
  <c r="CR34" i="34"/>
  <c r="CR92" i="34"/>
  <c r="CP17" i="34"/>
  <c r="W17" i="34"/>
  <c r="CR17" i="34" s="1"/>
  <c r="CP50" i="34"/>
  <c r="W50" i="34"/>
  <c r="CR50" i="34" s="1"/>
  <c r="W203" i="34"/>
  <c r="CP203" i="34"/>
  <c r="CP68" i="34"/>
  <c r="W68" i="34"/>
  <c r="CP160" i="34"/>
  <c r="W160" i="34"/>
  <c r="CR160" i="34" s="1"/>
  <c r="CP147" i="34"/>
  <c r="W147" i="34"/>
  <c r="CR147" i="34" s="1"/>
  <c r="BE262" i="34"/>
  <c r="W235" i="34"/>
  <c r="CR235" i="34" s="1"/>
  <c r="CP235" i="34"/>
  <c r="W194" i="34"/>
  <c r="CR194" i="34" s="1"/>
  <c r="CP194" i="34"/>
  <c r="CP144" i="34"/>
  <c r="W144" i="34"/>
  <c r="CR144" i="34" s="1"/>
  <c r="CP108" i="34"/>
  <c r="W108" i="34"/>
  <c r="CR108" i="34" s="1"/>
  <c r="CP26" i="34"/>
  <c r="W26" i="34"/>
  <c r="CP48" i="34"/>
  <c r="W48" i="34"/>
  <c r="CR48" i="34" s="1"/>
  <c r="CP19" i="34"/>
  <c r="W19" i="34"/>
  <c r="CR19" i="34" s="1"/>
  <c r="CP145" i="34"/>
  <c r="W145" i="34"/>
  <c r="CR145" i="34" s="1"/>
  <c r="W193" i="34"/>
  <c r="CR193" i="34" s="1"/>
  <c r="CP193" i="34"/>
  <c r="CP14" i="34"/>
  <c r="W14" i="34"/>
  <c r="CR14" i="34" s="1"/>
  <c r="W184" i="34"/>
  <c r="CR184" i="34" s="1"/>
  <c r="CP184" i="34"/>
  <c r="CP96" i="34"/>
  <c r="W96" i="34"/>
  <c r="CR96" i="34" s="1"/>
  <c r="CP115" i="34"/>
  <c r="W115" i="34"/>
  <c r="CR115" i="34" s="1"/>
  <c r="CP171" i="34"/>
  <c r="W171" i="34"/>
  <c r="CR171" i="34" s="1"/>
  <c r="CP47" i="34"/>
  <c r="W47" i="34"/>
  <c r="CR47" i="34" s="1"/>
  <c r="W200" i="34"/>
  <c r="CR200" i="34" s="1"/>
  <c r="CP200" i="34"/>
  <c r="CP225" i="34"/>
  <c r="CP202" i="34"/>
  <c r="CR85" i="34"/>
  <c r="CP178" i="34"/>
  <c r="CR25" i="34"/>
  <c r="CP34" i="34"/>
  <c r="CP92" i="34"/>
  <c r="CM270" i="34"/>
  <c r="CR225" i="34"/>
  <c r="CR237" i="34"/>
  <c r="CR238" i="34"/>
  <c r="CR202" i="34"/>
  <c r="CR226" i="34"/>
  <c r="CR210" i="34"/>
  <c r="BE261" i="34"/>
  <c r="BE269" i="34"/>
  <c r="CR229" i="34"/>
  <c r="BE267" i="34"/>
  <c r="BE266" i="34"/>
  <c r="BE270" i="34"/>
  <c r="CM265" i="34"/>
  <c r="CM263" i="34"/>
  <c r="CM264" i="34"/>
  <c r="CM261" i="34"/>
  <c r="CM262" i="34"/>
  <c r="CM269" i="34"/>
  <c r="CM259" i="34"/>
  <c r="CM260" i="34"/>
  <c r="CM267" i="34"/>
  <c r="BV263" i="34"/>
  <c r="BV264" i="34"/>
  <c r="BV266" i="34"/>
  <c r="BV261" i="34"/>
  <c r="BV259" i="34"/>
  <c r="BV267" i="34"/>
  <c r="BV265" i="34"/>
  <c r="BV268" i="34"/>
  <c r="BV270" i="34"/>
  <c r="BV269" i="34"/>
  <c r="AN269" i="34"/>
  <c r="AN264" i="34"/>
  <c r="AN268" i="34"/>
  <c r="AN270" i="34"/>
  <c r="AN259" i="34"/>
  <c r="AN260" i="34"/>
  <c r="AN261" i="34"/>
  <c r="AN262" i="34"/>
  <c r="AN265" i="34"/>
  <c r="AN267" i="34"/>
  <c r="AN263" i="34"/>
  <c r="AN189" i="34"/>
  <c r="CR189" i="34" s="1"/>
  <c r="CM281" i="34"/>
  <c r="AN281" i="34"/>
  <c r="CM284" i="34"/>
  <c r="BV284" i="34"/>
  <c r="BV281" i="34"/>
  <c r="BE284" i="34"/>
  <c r="BE283" i="34"/>
  <c r="BV285" i="34"/>
  <c r="BE280" i="34"/>
  <c r="BE285" i="34"/>
  <c r="CM285" i="34"/>
  <c r="BE281" i="34"/>
  <c r="AN284" i="34"/>
  <c r="W273" i="34"/>
  <c r="AN280" i="34"/>
  <c r="CM280" i="34"/>
  <c r="CM279" i="34"/>
  <c r="BV279" i="34"/>
  <c r="BE279" i="34"/>
  <c r="AN279" i="34"/>
  <c r="O279" i="34"/>
  <c r="AN175" i="34"/>
  <c r="AN165" i="34"/>
  <c r="AN199" i="34"/>
  <c r="BE41" i="34"/>
  <c r="CM120" i="34"/>
  <c r="BE241" i="34"/>
  <c r="BE214" i="34"/>
  <c r="BV24" i="34"/>
  <c r="CM192" i="34"/>
  <c r="BV175" i="34"/>
  <c r="BV165" i="34"/>
  <c r="CM99" i="34"/>
  <c r="BV199" i="34"/>
  <c r="BE24" i="34"/>
  <c r="AN57" i="34"/>
  <c r="BV192" i="34"/>
  <c r="CM214" i="34"/>
  <c r="CM199" i="34"/>
  <c r="CM24" i="34"/>
  <c r="BV214" i="34"/>
  <c r="BE120" i="34"/>
  <c r="AN99" i="34"/>
  <c r="BV57" i="34"/>
  <c r="AN24" i="34"/>
  <c r="AN41" i="34"/>
  <c r="CM158" i="34"/>
  <c r="BE165" i="34"/>
  <c r="BE192" i="34"/>
  <c r="CM175" i="34"/>
  <c r="BE99" i="34"/>
  <c r="AN224" i="34"/>
  <c r="BV224" i="34"/>
  <c r="CM41" i="34"/>
  <c r="BE224" i="34"/>
  <c r="BV283" i="34"/>
  <c r="CM224" i="34"/>
  <c r="AN120" i="34"/>
  <c r="BE158" i="34"/>
  <c r="CM57" i="34"/>
  <c r="BE175" i="34"/>
  <c r="BE57" i="34"/>
  <c r="CM241" i="34"/>
  <c r="AN214" i="34"/>
  <c r="BV158" i="34"/>
  <c r="AN158" i="34"/>
  <c r="BV120" i="34"/>
  <c r="BV241" i="34"/>
  <c r="BE199" i="34"/>
  <c r="AN285" i="34"/>
  <c r="AF192" i="34"/>
  <c r="O241" i="34"/>
  <c r="BN99" i="34"/>
  <c r="BN280" i="34"/>
  <c r="O284" i="34"/>
  <c r="AW199" i="34"/>
  <c r="CE192" i="34"/>
  <c r="O281" i="34"/>
  <c r="AF267" i="34"/>
  <c r="O175" i="34"/>
  <c r="AF214" i="34"/>
  <c r="CE270" i="34"/>
  <c r="BN158" i="34"/>
  <c r="AW267" i="34"/>
  <c r="CE224" i="34"/>
  <c r="AW281" i="34"/>
  <c r="CE158" i="34"/>
  <c r="AF57" i="34"/>
  <c r="AF268" i="34"/>
  <c r="AF199" i="34"/>
  <c r="O158" i="34"/>
  <c r="CE120" i="34"/>
  <c r="AW214" i="34"/>
  <c r="AW158" i="34"/>
  <c r="AF280" i="34"/>
  <c r="AW260" i="34"/>
  <c r="BN192" i="34"/>
  <c r="O165" i="34"/>
  <c r="O120" i="34"/>
  <c r="AW24" i="34"/>
  <c r="AF259" i="34"/>
  <c r="AF175" i="34"/>
  <c r="BN175" i="34"/>
  <c r="BN268" i="34"/>
  <c r="CE99" i="34"/>
  <c r="BN270" i="34"/>
  <c r="BN24" i="34"/>
  <c r="O280" i="34"/>
  <c r="AF158" i="34"/>
  <c r="AW175" i="34"/>
  <c r="CE214" i="34"/>
  <c r="CE165" i="34"/>
  <c r="AW165" i="34"/>
  <c r="AW192" i="34"/>
  <c r="CE175" i="34"/>
  <c r="AW262" i="34"/>
  <c r="BN224" i="34"/>
  <c r="AF261" i="34"/>
  <c r="O199" i="34"/>
  <c r="CE260" i="34"/>
  <c r="CE259" i="34"/>
  <c r="BN269" i="34"/>
  <c r="CE57" i="34"/>
  <c r="CP282" i="34"/>
  <c r="AF262" i="34"/>
  <c r="AW263" i="34"/>
  <c r="BN120" i="34"/>
  <c r="AF120" i="34"/>
  <c r="O99" i="34"/>
  <c r="CP245" i="34"/>
  <c r="CP246" i="34"/>
  <c r="CP243" i="34"/>
  <c r="CP244" i="34"/>
  <c r="CR68" i="34" l="1"/>
  <c r="CM283" i="34"/>
  <c r="BV41" i="34"/>
  <c r="BV280" i="34"/>
  <c r="CM165" i="34"/>
  <c r="W241" i="34"/>
  <c r="AN192" i="34"/>
  <c r="CR159" i="34"/>
  <c r="W41" i="34"/>
  <c r="W267" i="34"/>
  <c r="W224" i="34"/>
  <c r="W270" i="34"/>
  <c r="W280" i="34"/>
  <c r="W260" i="34"/>
  <c r="W283" i="34"/>
  <c r="W165" i="34"/>
  <c r="W284" i="34"/>
  <c r="W266" i="34"/>
  <c r="W199" i="34"/>
  <c r="W99" i="34"/>
  <c r="W214" i="34"/>
  <c r="W120" i="34"/>
  <c r="W192" i="34"/>
  <c r="W261" i="34"/>
  <c r="W269" i="34"/>
  <c r="W268" i="34"/>
  <c r="CR179" i="34"/>
  <c r="CR195" i="34"/>
  <c r="CR203" i="34"/>
  <c r="W281" i="34"/>
  <c r="W264" i="34"/>
  <c r="W263" i="34"/>
  <c r="CR26" i="34"/>
  <c r="W158" i="34"/>
  <c r="W175" i="34"/>
  <c r="W285" i="34"/>
  <c r="W265" i="34"/>
  <c r="W57" i="34"/>
  <c r="W262" i="34"/>
  <c r="AN283" i="34"/>
  <c r="BE271" i="34"/>
  <c r="CM271" i="34"/>
  <c r="CM256" i="34" s="1"/>
  <c r="CM276" i="34" s="1"/>
  <c r="BV271" i="34"/>
  <c r="BV256" i="34" s="1"/>
  <c r="BV276" i="34" s="1"/>
  <c r="AN266" i="34"/>
  <c r="AN271" i="34" s="1"/>
  <c r="AN256" i="34" s="1"/>
  <c r="AN276" i="34" s="1"/>
  <c r="CR243" i="34"/>
  <c r="CR24" i="34"/>
  <c r="W279" i="34"/>
  <c r="W259" i="34"/>
  <c r="W24" i="34"/>
  <c r="CR120" i="34"/>
  <c r="CR224" i="34"/>
  <c r="CR158" i="34"/>
  <c r="CR175" i="34"/>
  <c r="AN241" i="34"/>
  <c r="CR241" i="34"/>
  <c r="CR57" i="34"/>
  <c r="BV99" i="34"/>
  <c r="CR99" i="34"/>
  <c r="CP273" i="34"/>
  <c r="CR273" i="34"/>
  <c r="O285" i="34"/>
  <c r="AW265" i="34"/>
  <c r="BN260" i="34"/>
  <c r="BN261" i="34"/>
  <c r="BN264" i="34"/>
  <c r="AW264" i="34"/>
  <c r="O265" i="34"/>
  <c r="AW259" i="34"/>
  <c r="O262" i="34"/>
  <c r="AF263" i="34"/>
  <c r="AW268" i="34"/>
  <c r="CE263" i="34"/>
  <c r="BN263" i="34"/>
  <c r="BN265" i="34"/>
  <c r="BN259" i="34"/>
  <c r="AF269" i="34"/>
  <c r="CE262" i="34"/>
  <c r="CE268" i="34"/>
  <c r="AW269" i="34"/>
  <c r="AF265" i="34"/>
  <c r="CE261" i="34"/>
  <c r="AW270" i="34"/>
  <c r="CE265" i="34"/>
  <c r="AF260" i="34"/>
  <c r="AF264" i="34"/>
  <c r="CE269" i="34"/>
  <c r="O263" i="34"/>
  <c r="CE264" i="34"/>
  <c r="O264" i="34"/>
  <c r="AW261" i="34"/>
  <c r="BN262" i="34"/>
  <c r="BN266" i="34"/>
  <c r="CE266" i="34"/>
  <c r="AF266" i="34"/>
  <c r="AW266" i="34"/>
  <c r="O192" i="34"/>
  <c r="O266" i="34"/>
  <c r="AF270" i="34"/>
  <c r="BN267" i="34"/>
  <c r="CE267" i="34"/>
  <c r="O224" i="34"/>
  <c r="O270" i="34"/>
  <c r="CE199" i="34"/>
  <c r="AW285" i="34"/>
  <c r="AF165" i="34"/>
  <c r="BN165" i="34"/>
  <c r="AF224" i="34"/>
  <c r="AF285" i="34"/>
  <c r="AW224" i="34"/>
  <c r="O267" i="34"/>
  <c r="BN199" i="34"/>
  <c r="BN285" i="34"/>
  <c r="CE285" i="34"/>
  <c r="O41" i="34"/>
  <c r="AF279" i="34"/>
  <c r="AW120" i="34"/>
  <c r="AW283" i="34"/>
  <c r="AF283" i="34"/>
  <c r="BN283" i="34"/>
  <c r="AF241" i="34"/>
  <c r="BN241" i="34"/>
  <c r="CE241" i="34"/>
  <c r="AW241" i="34"/>
  <c r="CE283" i="34"/>
  <c r="AF99" i="34"/>
  <c r="AW99" i="34"/>
  <c r="CE281" i="34"/>
  <c r="BN57" i="34"/>
  <c r="BN281" i="34"/>
  <c r="AF281" i="34"/>
  <c r="O261" i="34"/>
  <c r="AW279" i="34"/>
  <c r="CE24" i="34"/>
  <c r="CE279" i="34"/>
  <c r="BN279" i="34"/>
  <c r="BN41" i="34"/>
  <c r="AF41" i="34"/>
  <c r="AW41" i="34"/>
  <c r="AW280" i="34"/>
  <c r="CE41" i="34"/>
  <c r="CE280" i="34"/>
  <c r="AW284" i="34"/>
  <c r="AF284" i="34"/>
  <c r="CE284" i="34"/>
  <c r="O269" i="34"/>
  <c r="BN214" i="34"/>
  <c r="O214" i="34"/>
  <c r="BN284" i="34"/>
  <c r="O283" i="34"/>
  <c r="AW57" i="34"/>
  <c r="O24" i="34"/>
  <c r="AF24" i="34"/>
  <c r="O259" i="34"/>
  <c r="CP158" i="34"/>
  <c r="CP99" i="34"/>
  <c r="CP120" i="34"/>
  <c r="BE253" i="34" l="1"/>
  <c r="BE256" i="34"/>
  <c r="BE276" i="34" s="1"/>
  <c r="BE252" i="34"/>
  <c r="BE251" i="34"/>
  <c r="BE250" i="34"/>
  <c r="CR41" i="34"/>
  <c r="CR270" i="34"/>
  <c r="CR199" i="34"/>
  <c r="CR165" i="34"/>
  <c r="CR192" i="34"/>
  <c r="CR214" i="34"/>
  <c r="CR259" i="34"/>
  <c r="CR269" i="34"/>
  <c r="CR263" i="34"/>
  <c r="CR283" i="34"/>
  <c r="CR268" i="34"/>
  <c r="CR284" i="34"/>
  <c r="CR280" i="34"/>
  <c r="CR261" i="34"/>
  <c r="CR266" i="34"/>
  <c r="CR264" i="34"/>
  <c r="CR281" i="34"/>
  <c r="CR267" i="34"/>
  <c r="CR279" i="34"/>
  <c r="CR265" i="34"/>
  <c r="CR262" i="34"/>
  <c r="CR285" i="34"/>
  <c r="CP261" i="34"/>
  <c r="CP269" i="34"/>
  <c r="CP263" i="34"/>
  <c r="CP268" i="34"/>
  <c r="CP264" i="34"/>
  <c r="CP265" i="34"/>
  <c r="CP266" i="34"/>
  <c r="CP267" i="34"/>
  <c r="CP262" i="34"/>
  <c r="CP285" i="34"/>
  <c r="AF271" i="34"/>
  <c r="CE271" i="34"/>
  <c r="CE256" i="34" s="1"/>
  <c r="AW271" i="34"/>
  <c r="BN271" i="34"/>
  <c r="CM250" i="34" l="1"/>
  <c r="CM253" i="34"/>
  <c r="CM275" i="34" s="1"/>
  <c r="CM252" i="34"/>
  <c r="CM274" i="34" s="1"/>
  <c r="CM251" i="34"/>
  <c r="BV253" i="34"/>
  <c r="BV275" i="34" s="1"/>
  <c r="BV250" i="34"/>
  <c r="BV252" i="34"/>
  <c r="BV274" i="34" s="1"/>
  <c r="BV251" i="34"/>
  <c r="BN256" i="34"/>
  <c r="BN276" i="34" s="1"/>
  <c r="BE275" i="34"/>
  <c r="BE274" i="34"/>
  <c r="AW256" i="34"/>
  <c r="AF256" i="34"/>
  <c r="AN253" i="34"/>
  <c r="AN275" i="34" s="1"/>
  <c r="AN252" i="34"/>
  <c r="AN274" i="34" s="1"/>
  <c r="AN251" i="34"/>
  <c r="AN250" i="34"/>
  <c r="CE251" i="34"/>
  <c r="CE250" i="34"/>
  <c r="CE252" i="34"/>
  <c r="CE253" i="34"/>
  <c r="BN253" i="34"/>
  <c r="BN252" i="34"/>
  <c r="BN251" i="34"/>
  <c r="BN250" i="34"/>
  <c r="AW253" i="34"/>
  <c r="AW252" i="34"/>
  <c r="AW251" i="34"/>
  <c r="AW250" i="34"/>
  <c r="AF252" i="34"/>
  <c r="AF250" i="34"/>
  <c r="AF251" i="34"/>
  <c r="AF253" i="34"/>
  <c r="CP283" i="34"/>
  <c r="O260" i="34"/>
  <c r="AF257" i="34" l="1"/>
  <c r="CE257" i="34"/>
  <c r="BN257" i="34"/>
  <c r="AW257" i="34"/>
  <c r="BV257" i="34"/>
  <c r="AN272" i="34"/>
  <c r="BE272" i="34"/>
  <c r="BE277" i="34" s="1"/>
  <c r="BE288" i="34" s="1"/>
  <c r="CM272" i="34"/>
  <c r="BV272" i="34"/>
  <c r="CE276" i="34"/>
  <c r="AW276" i="34"/>
  <c r="AF276" i="34"/>
  <c r="W271" i="34"/>
  <c r="CR260" i="34"/>
  <c r="AN257" i="34"/>
  <c r="CP279" i="34"/>
  <c r="CP24" i="34"/>
  <c r="BE257" i="34" l="1"/>
  <c r="CM257" i="34"/>
  <c r="CR271" i="34"/>
  <c r="W256" i="34"/>
  <c r="W276" i="34" s="1"/>
  <c r="CR276" i="34" s="1"/>
  <c r="W251" i="34"/>
  <c r="W250" i="34"/>
  <c r="W253" i="34"/>
  <c r="W275" i="34" s="1"/>
  <c r="W252" i="34"/>
  <c r="W274" i="34" s="1"/>
  <c r="CP259" i="34"/>
  <c r="CP41" i="34"/>
  <c r="CP260" i="34"/>
  <c r="CP280" i="34"/>
  <c r="CP241" i="34"/>
  <c r="CP57" i="34"/>
  <c r="CP281" i="34"/>
  <c r="CP65" i="34"/>
  <c r="CP129" i="34"/>
  <c r="W272" i="34" l="1"/>
  <c r="W277" i="34" s="1"/>
  <c r="W288" i="34" s="1"/>
  <c r="CP165" i="34"/>
  <c r="CP192" i="34" l="1"/>
  <c r="CP175" i="34"/>
  <c r="O271" i="34" l="1"/>
  <c r="O250" i="34" s="1"/>
  <c r="CR256" i="34" l="1"/>
  <c r="O256" i="34"/>
  <c r="O276" i="34" s="1"/>
  <c r="CP276" i="34" s="1"/>
  <c r="O253" i="34"/>
  <c r="O252" i="34"/>
  <c r="O274" i="34" s="1"/>
  <c r="O251" i="34"/>
  <c r="CR251" i="34" s="1"/>
  <c r="AF274" i="34"/>
  <c r="O272" i="34" l="1"/>
  <c r="CR250" i="34"/>
  <c r="O257" i="34"/>
  <c r="CP256" i="34"/>
  <c r="O275" i="34"/>
  <c r="CR253" i="34"/>
  <c r="AF275" i="34"/>
  <c r="AF272" i="34"/>
  <c r="AN277" i="34" l="1"/>
  <c r="AN288" i="34" s="1"/>
  <c r="AF277" i="34"/>
  <c r="AF288" i="34" s="1"/>
  <c r="O277" i="34"/>
  <c r="O288" i="34" s="1"/>
  <c r="W257" i="34"/>
  <c r="CR252" i="34"/>
  <c r="AW274" i="34"/>
  <c r="CR257" i="34" l="1"/>
  <c r="AW272" i="34"/>
  <c r="AW275" i="34"/>
  <c r="AW277" i="34" l="1"/>
  <c r="AW288" i="34" s="1"/>
  <c r="BN274" i="34"/>
  <c r="BN275" i="34"/>
  <c r="BN272" i="34" l="1"/>
  <c r="BV277" i="34" l="1"/>
  <c r="BN277" i="34"/>
  <c r="CP199" i="34"/>
  <c r="CP214" i="34"/>
  <c r="CP270" i="34"/>
  <c r="CP284" i="34"/>
  <c r="CP251" i="34" l="1"/>
  <c r="CP224" i="34"/>
  <c r="CE274" i="34"/>
  <c r="CR274" i="34" s="1"/>
  <c r="CE272" i="34" l="1"/>
  <c r="CP253" i="34"/>
  <c r="CE275" i="34"/>
  <c r="CP250" i="34"/>
  <c r="CP274" i="34"/>
  <c r="CP252" i="34"/>
  <c r="CE277" i="34" l="1"/>
  <c r="CP277" i="34" s="1"/>
  <c r="CP288" i="34" s="1"/>
  <c r="CP275" i="34"/>
  <c r="CP257" i="34"/>
  <c r="CP272" i="34"/>
  <c r="CP271" i="34"/>
  <c r="CR272" i="34" l="1"/>
  <c r="CM277" i="34"/>
  <c r="CR277" i="34" s="1"/>
  <c r="CR288" i="34" s="1"/>
  <c r="CR275" i="3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Janko Milan, Ing.</author>
    <author>Matěj Mareš</author>
    <author>SUDOP PRAHA a.s.</author>
  </authors>
  <commentList>
    <comment ref="F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Janko Milan, Ing.:</t>
        </r>
        <r>
          <rPr>
            <sz val="9"/>
            <color indexed="81"/>
            <rFont val="Tahoma"/>
            <family val="2"/>
            <charset val="238"/>
          </rPr>
          <t xml:space="preserve">
1,0000 = CU2019
1,0235 = CU2020</t>
        </r>
      </text>
    </comment>
    <comment ref="F36" authorId="1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Matěj Mareš:</t>
        </r>
        <r>
          <rPr>
            <sz val="9"/>
            <color indexed="81"/>
            <rFont val="Tahoma"/>
            <family val="2"/>
            <charset val="238"/>
          </rPr>
          <t xml:space="preserve">
odborný odhad</t>
        </r>
      </text>
    </comment>
    <comment ref="F37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Matěj Mareš:</t>
        </r>
        <r>
          <rPr>
            <sz val="9"/>
            <color indexed="81"/>
            <rFont val="Tahoma"/>
            <family val="2"/>
            <charset val="238"/>
          </rPr>
          <t xml:space="preserve">
odborný odhad</t>
        </r>
      </text>
    </comment>
    <comment ref="AE109" authorId="2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SUDOP PRAHA a.s.:</t>
        </r>
        <r>
          <rPr>
            <sz val="9"/>
            <color indexed="81"/>
            <rFont val="Tahoma"/>
            <family val="2"/>
            <charset val="238"/>
          </rPr>
          <t xml:space="preserve">
pouze pročištění + obnova šachet</t>
        </r>
      </text>
    </comment>
    <comment ref="AE143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Matěj Mareš:</t>
        </r>
        <r>
          <rPr>
            <sz val="9"/>
            <color indexed="81"/>
            <rFont val="Tahoma"/>
            <family val="2"/>
            <charset val="238"/>
          </rPr>
          <t xml:space="preserve">
větší zásah z důvodu doplnění eskalátorů a výtahů</t>
        </r>
      </text>
    </comment>
    <comment ref="Y156" authorId="1" shapeId="0" xr:uid="{458B41FD-9099-4A61-9C4D-1883419AD95A}">
      <text>
        <r>
          <rPr>
            <b/>
            <sz val="9"/>
            <color indexed="81"/>
            <rFont val="Tahoma"/>
            <family val="2"/>
            <charset val="238"/>
          </rPr>
          <t>Matěj Mareš:</t>
        </r>
        <r>
          <rPr>
            <sz val="9"/>
            <color indexed="81"/>
            <rFont val="Tahoma"/>
            <family val="2"/>
            <charset val="238"/>
          </rPr>
          <t xml:space="preserve">
odborný odhad - prodloužení odjezdového podchodu, vč. výstupů (šikmý chodník, schodiště)</t>
        </r>
      </text>
    </comment>
    <comment ref="F209" authorId="1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Matěj Mareš:</t>
        </r>
        <r>
          <rPr>
            <sz val="9"/>
            <color indexed="81"/>
            <rFont val="Tahoma"/>
            <family val="2"/>
            <charset val="238"/>
          </rPr>
          <t xml:space="preserve">
odborný odhad</t>
        </r>
      </text>
    </comment>
    <comment ref="F210" authorId="1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Matěj Mareš:</t>
        </r>
        <r>
          <rPr>
            <sz val="9"/>
            <color indexed="81"/>
            <rFont val="Tahoma"/>
            <family val="2"/>
            <charset val="238"/>
          </rPr>
          <t xml:space="preserve">
odborný odhad</t>
        </r>
      </text>
    </comment>
    <comment ref="F211" authorId="1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>Matěj Mareš:</t>
        </r>
        <r>
          <rPr>
            <sz val="9"/>
            <color indexed="81"/>
            <rFont val="Tahoma"/>
            <family val="2"/>
            <charset val="238"/>
          </rPr>
          <t xml:space="preserve">
odborný odhad</t>
        </r>
      </text>
    </comment>
  </commentList>
</comments>
</file>

<file path=xl/sharedStrings.xml><?xml version="1.0" encoding="utf-8"?>
<sst xmlns="http://schemas.openxmlformats.org/spreadsheetml/2006/main" count="1274" uniqueCount="627">
  <si>
    <t>m.j</t>
  </si>
  <si>
    <t>sazba (mil.Kč/m.j)</t>
  </si>
  <si>
    <t>m koleje</t>
  </si>
  <si>
    <t>ks</t>
  </si>
  <si>
    <t>km tratě</t>
  </si>
  <si>
    <t>žst.</t>
  </si>
  <si>
    <t>od km</t>
  </si>
  <si>
    <t>do km</t>
  </si>
  <si>
    <t>název</t>
  </si>
  <si>
    <t>m.j.</t>
  </si>
  <si>
    <t>mil. Kč</t>
  </si>
  <si>
    <t>Varianta</t>
  </si>
  <si>
    <t>Zpracoval</t>
  </si>
  <si>
    <t>Datum</t>
  </si>
  <si>
    <t>Investiční úsek</t>
  </si>
  <si>
    <t>km</t>
  </si>
  <si>
    <t>Profese</t>
  </si>
  <si>
    <t>m hrany</t>
  </si>
  <si>
    <t>m3</t>
  </si>
  <si>
    <t>m2</t>
  </si>
  <si>
    <t>m</t>
  </si>
  <si>
    <t>EOV</t>
  </si>
  <si>
    <t>CELKEM</t>
  </si>
  <si>
    <t>SOUHRN</t>
  </si>
  <si>
    <t>DOZ</t>
  </si>
  <si>
    <t>A10</t>
  </si>
  <si>
    <t>A11</t>
  </si>
  <si>
    <t>A12</t>
  </si>
  <si>
    <t>A13</t>
  </si>
  <si>
    <t>A14</t>
  </si>
  <si>
    <t>A15</t>
  </si>
  <si>
    <t>A16</t>
  </si>
  <si>
    <t>A17</t>
  </si>
  <si>
    <t>B10</t>
  </si>
  <si>
    <t>B11</t>
  </si>
  <si>
    <t>B12</t>
  </si>
  <si>
    <t>B13</t>
  </si>
  <si>
    <t>Inženýrské sítě</t>
  </si>
  <si>
    <t>Technická asistence, propagace</t>
  </si>
  <si>
    <t>Technický dozor</t>
  </si>
  <si>
    <t>Železniční svršek</t>
  </si>
  <si>
    <t>Ostatní</t>
  </si>
  <si>
    <t>Železniční spodek</t>
  </si>
  <si>
    <t>Protihluková opatření</t>
  </si>
  <si>
    <t>Mosty</t>
  </si>
  <si>
    <t>Trakce</t>
  </si>
  <si>
    <t>Osvětlení</t>
  </si>
  <si>
    <t>v.j.</t>
  </si>
  <si>
    <t>Zabezpečovací zařízení</t>
  </si>
  <si>
    <t>Sdělovací zařízení</t>
  </si>
  <si>
    <t>Položka</t>
  </si>
  <si>
    <t>%</t>
  </si>
  <si>
    <t>Regenerace koleje vč. úpravy GPK</t>
  </si>
  <si>
    <t>Propracování koleje vč. úpravy GPK</t>
  </si>
  <si>
    <t>Rekonstrukce železničního svršku</t>
  </si>
  <si>
    <t>Konstrukční vrstvy v trati - PJD</t>
  </si>
  <si>
    <t>Výkopy</t>
  </si>
  <si>
    <t>Násypy</t>
  </si>
  <si>
    <t>Sanace skalního zářezu</t>
  </si>
  <si>
    <t>bm</t>
  </si>
  <si>
    <t>Odvodnění (příkopové zídky)</t>
  </si>
  <si>
    <t>Odvodnění (trativod)</t>
  </si>
  <si>
    <t>Příprava území</t>
  </si>
  <si>
    <t>Ozelenění tělesa</t>
  </si>
  <si>
    <t>Rekultivace ploch</t>
  </si>
  <si>
    <t>Kontaminace, uskladnění</t>
  </si>
  <si>
    <t>Železniční most - úprava mostů s přesypáním</t>
  </si>
  <si>
    <t>Mostní provizoria</t>
  </si>
  <si>
    <t>Nový propustek</t>
  </si>
  <si>
    <t>Rekonstrukce propustku</t>
  </si>
  <si>
    <t>Nový podchod</t>
  </si>
  <si>
    <t>Demolice stávajícího podchodu</t>
  </si>
  <si>
    <t>Lávky pro pěší</t>
  </si>
  <si>
    <t>Návěstní krakorec (přes 2 koleje)</t>
  </si>
  <si>
    <t>Návěstní lávka (přes 4 koleje)</t>
  </si>
  <si>
    <t>Opěrné a zárubní zdi (do 5 m výšky)</t>
  </si>
  <si>
    <t>Opěrné a zárubní zdi (nad 5 m výšky)</t>
  </si>
  <si>
    <t>Obkladní zdi</t>
  </si>
  <si>
    <t>Tunel - novostavba, 1-kolejný, do 500 m</t>
  </si>
  <si>
    <t>Tunel - novostavba, 1-kolejný, nad 500 m</t>
  </si>
  <si>
    <t>Tunely</t>
  </si>
  <si>
    <t>Tunel - novostavba, 2-kolejný, do 500 m</t>
  </si>
  <si>
    <t>Tunel - novostavba, 2-kolejný, nad 500 m</t>
  </si>
  <si>
    <t>Novostavba budov</t>
  </si>
  <si>
    <t xml:space="preserve">Stavební úpravy - rekonstrukce budov </t>
  </si>
  <si>
    <t>Výpravní budova (individuálně)</t>
  </si>
  <si>
    <t>Objekt pro technologické zařízení - velký</t>
  </si>
  <si>
    <t>Objekt pro technologické zařízení - malý</t>
  </si>
  <si>
    <t>Zastřešení nástupišť</t>
  </si>
  <si>
    <t>Přístřešek</t>
  </si>
  <si>
    <t>Demolice objektů</t>
  </si>
  <si>
    <t>Schodiště</t>
  </si>
  <si>
    <t>Oplocení</t>
  </si>
  <si>
    <t>ks objektů</t>
  </si>
  <si>
    <t>Vozovka silnice I. třídy</t>
  </si>
  <si>
    <t>Chodník / stezka</t>
  </si>
  <si>
    <t>km koleje</t>
  </si>
  <si>
    <t>Demontáž trakčního vedení</t>
  </si>
  <si>
    <t>Technologie trakční měnírny</t>
  </si>
  <si>
    <t>Technologie trakční transformovny</t>
  </si>
  <si>
    <t>Technologie spínací stanice</t>
  </si>
  <si>
    <t>Technologie trafostanice 22 kV</t>
  </si>
  <si>
    <t>DOÚO</t>
  </si>
  <si>
    <t>Osvětlení stanice (osvětlovací věže)</t>
  </si>
  <si>
    <t>ks věže</t>
  </si>
  <si>
    <t>Osvětlení zastávky (osvětlovací stožáry)</t>
  </si>
  <si>
    <t>ks stožáru</t>
  </si>
  <si>
    <t xml:space="preserve">Osvětlení tunelů </t>
  </si>
  <si>
    <t>bm tunelu</t>
  </si>
  <si>
    <t>Přívodní vedení 110 kV</t>
  </si>
  <si>
    <t>Přívodní vedení 22 kV</t>
  </si>
  <si>
    <t>Přívodní vedení NN</t>
  </si>
  <si>
    <t>Rozvody VN,NN</t>
  </si>
  <si>
    <t>Přeložka NN, VN</t>
  </si>
  <si>
    <t>Provizorní SZZ</t>
  </si>
  <si>
    <t>ETCS</t>
  </si>
  <si>
    <t>Místní radiový systém</t>
  </si>
  <si>
    <t>Sdělovací zařízení v zastávce</t>
  </si>
  <si>
    <t>Sdělovací informační zařízení ve stanici</t>
  </si>
  <si>
    <t>Sdělovací informační zařízení v zastávce</t>
  </si>
  <si>
    <t xml:space="preserve">Sdělovací zařízení v tunelu </t>
  </si>
  <si>
    <t>Traťový sdělovací kabel</t>
  </si>
  <si>
    <t>mil. Kč / ha</t>
  </si>
  <si>
    <t>Zastavitelné území města</t>
  </si>
  <si>
    <t>Zastavitelné území obce</t>
  </si>
  <si>
    <t>Mimo zastavěné území</t>
  </si>
  <si>
    <t>Dokumentace stavby</t>
  </si>
  <si>
    <t>Průzkumy, geodetické měření</t>
  </si>
  <si>
    <t>Konstrukce koleje</t>
  </si>
  <si>
    <t>Těleso dráhy</t>
  </si>
  <si>
    <t>Kolej</t>
  </si>
  <si>
    <t>Výhybka</t>
  </si>
  <si>
    <t>Úpravy koleje</t>
  </si>
  <si>
    <t>Jiné</t>
  </si>
  <si>
    <t>A01</t>
  </si>
  <si>
    <t>A02</t>
  </si>
  <si>
    <t>A03</t>
  </si>
  <si>
    <t>A05</t>
  </si>
  <si>
    <t>A07</t>
  </si>
  <si>
    <t>A09</t>
  </si>
  <si>
    <t>A04</t>
  </si>
  <si>
    <t>A06</t>
  </si>
  <si>
    <t>A08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</si>
  <si>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</si>
  <si>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</si>
  <si>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</si>
  <si>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</si>
  <si>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</si>
  <si>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</si>
  <si>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</si>
  <si>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</si>
  <si>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</si>
  <si>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B14</t>
  </si>
  <si>
    <t>B15</t>
  </si>
  <si>
    <t>B16</t>
  </si>
  <si>
    <t>Č.řádku</t>
  </si>
  <si>
    <t>Nový železniční most - rozpětí nad 40 m, estakáda</t>
  </si>
  <si>
    <t>Rekonstrukce železničního mostu</t>
  </si>
  <si>
    <t>Nový železniční most - rozpětí do 40 m</t>
  </si>
  <si>
    <t>Propustky</t>
  </si>
  <si>
    <t>Podchody</t>
  </si>
  <si>
    <t>Lávky</t>
  </si>
  <si>
    <t>Zdi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</si>
  <si>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</si>
  <si>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</si>
  <si>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</si>
  <si>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</si>
  <si>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</si>
  <si>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</si>
  <si>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</si>
  <si>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</si>
  <si>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</si>
  <si>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</si>
  <si>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</si>
  <si>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</si>
  <si>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</si>
  <si>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</si>
  <si>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</si>
  <si>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D01</t>
  </si>
  <si>
    <t>D02</t>
  </si>
  <si>
    <t>D03</t>
  </si>
  <si>
    <t>D04</t>
  </si>
  <si>
    <t>D05</t>
  </si>
  <si>
    <t>D06</t>
  </si>
  <si>
    <t>D07</t>
  </si>
  <si>
    <t>m3 OP</t>
  </si>
  <si>
    <t>Základní technologické vybavení budov (EPS, EZS, MAR, SHZ atd.)</t>
  </si>
  <si>
    <t>Název akce</t>
  </si>
  <si>
    <t>Budovy a technologické objekty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</si>
  <si>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</si>
  <si>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</si>
  <si>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</si>
  <si>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</si>
  <si>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</si>
  <si>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</si>
  <si>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</si>
  <si>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</si>
  <si>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</si>
  <si>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</si>
  <si>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</si>
  <si>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</si>
  <si>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E13</t>
  </si>
  <si>
    <t>E14</t>
  </si>
  <si>
    <t>E15</t>
  </si>
  <si>
    <t>E16</t>
  </si>
  <si>
    <t>E17</t>
  </si>
  <si>
    <t>F01</t>
  </si>
  <si>
    <t>F02</t>
  </si>
  <si>
    <t>F03</t>
  </si>
  <si>
    <t>F04</t>
  </si>
  <si>
    <t>F05</t>
  </si>
  <si>
    <t>F06</t>
  </si>
  <si>
    <t>F07</t>
  </si>
  <si>
    <t>Protihluková stěna (PHS) nová</t>
  </si>
  <si>
    <t>Individuální protihluková opatření (IPO)</t>
  </si>
  <si>
    <t>Individuální kalkulace</t>
  </si>
  <si>
    <t>Tunel - rekonstrukce (Individuální kalkulace)</t>
  </si>
  <si>
    <t>G01</t>
  </si>
  <si>
    <t>G02</t>
  </si>
  <si>
    <t>G03</t>
  </si>
  <si>
    <t>G04</t>
  </si>
  <si>
    <t>G05</t>
  </si>
  <si>
    <t>G06</t>
  </si>
  <si>
    <t>G07</t>
  </si>
  <si>
    <t>Přeložky sítí</t>
  </si>
  <si>
    <t>Vozovka silnice II. třídy</t>
  </si>
  <si>
    <t>Parkoviště, zpevněné plochy</t>
  </si>
  <si>
    <t>Náspy</t>
  </si>
  <si>
    <t>Vozovky a plochy</t>
  </si>
  <si>
    <t>Těleso a mosty</t>
  </si>
  <si>
    <t>Pozemní komunikace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</si>
  <si>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</si>
  <si>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</si>
  <si>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</si>
  <si>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</si>
  <si>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</si>
  <si>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</si>
  <si>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</si>
  <si>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</si>
  <si>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</si>
  <si>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</si>
  <si>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</si>
  <si>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Úprava porostu v okolí tratě</t>
  </si>
  <si>
    <t>Trakční vedení</t>
  </si>
  <si>
    <t>I01</t>
  </si>
  <si>
    <t>I02</t>
  </si>
  <si>
    <t>I03</t>
  </si>
  <si>
    <t>I04</t>
  </si>
  <si>
    <t>I05</t>
  </si>
  <si>
    <t>I06</t>
  </si>
  <si>
    <t>Úprava stávající technologie TNS, TM (individuální kalkulace)</t>
  </si>
  <si>
    <t>Úprava stávající technologie SpS (individuální kalkulace)</t>
  </si>
  <si>
    <t>Technologie rozvodny 110 kV</t>
  </si>
  <si>
    <t>Trafostanice</t>
  </si>
  <si>
    <t>Úprava stávající technologie trafostanic (individuální kalkulace)</t>
  </si>
  <si>
    <t>J01</t>
  </si>
  <si>
    <t>J02</t>
  </si>
  <si>
    <t>J03</t>
  </si>
  <si>
    <t>J04</t>
  </si>
  <si>
    <t>J05</t>
  </si>
  <si>
    <t>J06</t>
  </si>
  <si>
    <t>J07</t>
  </si>
  <si>
    <t>J08</t>
  </si>
  <si>
    <t>Trafostanice - technologie tunelů</t>
  </si>
  <si>
    <t>Trafostanice - technologie stanice</t>
  </si>
  <si>
    <t>Vedení</t>
  </si>
  <si>
    <t>Elektroinstalace v tunelu</t>
  </si>
  <si>
    <t>Technologie a rozvody</t>
  </si>
  <si>
    <t>ks ovl. jednotky</t>
  </si>
  <si>
    <t>K01</t>
  </si>
  <si>
    <t>K02</t>
  </si>
  <si>
    <t>K03</t>
  </si>
  <si>
    <t>K04</t>
  </si>
  <si>
    <t>K05</t>
  </si>
  <si>
    <t>K06</t>
  </si>
  <si>
    <t>K07</t>
  </si>
  <si>
    <t>K08</t>
  </si>
  <si>
    <t>K09</t>
  </si>
  <si>
    <t>K10</t>
  </si>
  <si>
    <t>K11</t>
  </si>
  <si>
    <t>K12</t>
  </si>
  <si>
    <t>K13</t>
  </si>
  <si>
    <t>K14</t>
  </si>
  <si>
    <t>K15</t>
  </si>
  <si>
    <t>K16</t>
  </si>
  <si>
    <t>SZZ do 9 ks výhybkových jednotek</t>
  </si>
  <si>
    <t>SZZ od 10 do 15 ks výhybkových jednotek</t>
  </si>
  <si>
    <t>SZZ od 16 do 25 ks výhybkových jednotek</t>
  </si>
  <si>
    <t>SZZ od 26 do 50 ks výhybkových jednotek</t>
  </si>
  <si>
    <t>SZZ nad 50 ks výhybkových jednotek</t>
  </si>
  <si>
    <t>TZZ - dvoukolejná trať</t>
  </si>
  <si>
    <t>TZZ - jednokolejná trať</t>
  </si>
  <si>
    <t>Staniční</t>
  </si>
  <si>
    <t>Traťové</t>
  </si>
  <si>
    <t>Nadstavba</t>
  </si>
  <si>
    <t>Přejezdové</t>
  </si>
  <si>
    <t>PZZ - jednokolejná trať</t>
  </si>
  <si>
    <t>PZZ - dvoukolejná trať</t>
  </si>
  <si>
    <t>L01</t>
  </si>
  <si>
    <t>L02</t>
  </si>
  <si>
    <t>L03</t>
  </si>
  <si>
    <t>L04</t>
  </si>
  <si>
    <t>L05</t>
  </si>
  <si>
    <t>L06</t>
  </si>
  <si>
    <t>Sdělovací zařízení ve stanici - uzlové stanice</t>
  </si>
  <si>
    <t>Sdělovací zařízení ve stanici - mezilehlé stanice</t>
  </si>
  <si>
    <t>Stanice a zastávky</t>
  </si>
  <si>
    <t>Přeložka závěsného optického kabelu (kabel ČDT)</t>
  </si>
  <si>
    <t>Tratě</t>
  </si>
  <si>
    <t>ks nástupiště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</si>
  <si>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</si>
  <si>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</si>
  <si>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</si>
  <si>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</si>
  <si>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</si>
  <si>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</si>
  <si>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</si>
  <si>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</si>
  <si>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</si>
  <si>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</si>
  <si>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</si>
  <si>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</si>
  <si>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M13</t>
  </si>
  <si>
    <t>M14</t>
  </si>
  <si>
    <t>Výkupy pozemků a nemovitostí</t>
  </si>
  <si>
    <t>Výkupy nemovitostí (individuální kalkulace)</t>
  </si>
  <si>
    <t>Vedlejší náklady stavby</t>
  </si>
  <si>
    <t>Náklady realizace</t>
  </si>
  <si>
    <t>Celkové investiční náklady</t>
  </si>
  <si>
    <t>mil. Kč / km tratě</t>
  </si>
  <si>
    <t>K</t>
  </si>
  <si>
    <t>Ostatní náklady na přípravu</t>
  </si>
  <si>
    <t>N01</t>
  </si>
  <si>
    <t>N02</t>
  </si>
  <si>
    <t>N03</t>
  </si>
  <si>
    <t>N04</t>
  </si>
  <si>
    <t>N05</t>
  </si>
  <si>
    <t>N06</t>
  </si>
  <si>
    <t>N07</t>
  </si>
  <si>
    <t>O01</t>
  </si>
  <si>
    <t>O02</t>
  </si>
  <si>
    <t>O03</t>
  </si>
  <si>
    <t>O04</t>
  </si>
  <si>
    <t>O05</t>
  </si>
  <si>
    <t>O06</t>
  </si>
  <si>
    <t>P01</t>
  </si>
  <si>
    <t>Délka tratě</t>
  </si>
  <si>
    <t>Investiční           úsek</t>
  </si>
  <si>
    <t>Pozn.:</t>
  </si>
  <si>
    <t>Staničení</t>
  </si>
  <si>
    <t>od</t>
  </si>
  <si>
    <t>do</t>
  </si>
  <si>
    <t>Zábor ZPF, PUPFL</t>
  </si>
  <si>
    <t>Kolej UIC 60, nová, štěrkové lože</t>
  </si>
  <si>
    <t>Kolej UIC 60, nová, PJD sjízdná, širá trať</t>
  </si>
  <si>
    <t>Kolej UIC 60, nová, PJD sjízdná, tunel</t>
  </si>
  <si>
    <t>Kolej S49, nová, štěrkové lože</t>
  </si>
  <si>
    <t>Rezervní řádek</t>
  </si>
  <si>
    <t>V hustě zastavěném území</t>
  </si>
  <si>
    <t>V řídce zastavěném území</t>
  </si>
  <si>
    <t>Vozovka silnice III. třídy / místní komunikace</t>
  </si>
  <si>
    <t>Investiční podúsek 1a</t>
  </si>
  <si>
    <t>Investiční podúsek 1b</t>
  </si>
  <si>
    <t>Investiční podúsek 1c</t>
  </si>
  <si>
    <t>Investiční podúsek 1d</t>
  </si>
  <si>
    <t>Investiční podúsek 1e</t>
  </si>
  <si>
    <t>Investiční podúsek 2a</t>
  </si>
  <si>
    <t>Investiční podúsek 2b</t>
  </si>
  <si>
    <t>Investiční podúsek 2c</t>
  </si>
  <si>
    <t>Investiční podúsek 2d</t>
  </si>
  <si>
    <t>Investiční podúsek 2e</t>
  </si>
  <si>
    <t>Investiční podúsek 3a</t>
  </si>
  <si>
    <t>Investiční podúsek 3b</t>
  </si>
  <si>
    <t>Investiční podúsek 3c</t>
  </si>
  <si>
    <t>Investiční podúsek 3d</t>
  </si>
  <si>
    <t>Investiční podúsek 3e</t>
  </si>
  <si>
    <t>Investiční podúsek 4a</t>
  </si>
  <si>
    <t>Investiční podúsek 4b</t>
  </si>
  <si>
    <t>Investiční podúsek 4c</t>
  </si>
  <si>
    <t>Investiční podúsek 4d</t>
  </si>
  <si>
    <t>Investiční podúsek 4e</t>
  </si>
  <si>
    <t>Investiční podúsek 5a</t>
  </si>
  <si>
    <t>Investiční podúsek 5b</t>
  </si>
  <si>
    <t>Investiční podúsek 5c</t>
  </si>
  <si>
    <t>Investiční podúsek 5d</t>
  </si>
  <si>
    <t>Investiční podúsek 5e</t>
  </si>
  <si>
    <t>Podskupina</t>
  </si>
  <si>
    <t>E18</t>
  </si>
  <si>
    <t>F08</t>
  </si>
  <si>
    <t>REZERVA</t>
  </si>
  <si>
    <t>Technická asistence a propagace</t>
  </si>
  <si>
    <t>Silnoproudé rozvody a zařízení</t>
  </si>
  <si>
    <t>Pozemní stavby, nástupiště a přístřešky</t>
  </si>
  <si>
    <t>Objekty ochrany životního prostředí</t>
  </si>
  <si>
    <t>D.1</t>
  </si>
  <si>
    <t>D.2</t>
  </si>
  <si>
    <t>D.3</t>
  </si>
  <si>
    <t>D.4</t>
  </si>
  <si>
    <t>E.1</t>
  </si>
  <si>
    <t>E.2</t>
  </si>
  <si>
    <t>E.3</t>
  </si>
  <si>
    <t>D. Technologická část</t>
  </si>
  <si>
    <t>E. Stavební část</t>
  </si>
  <si>
    <t>Železniční zabezpečovací zařízení</t>
  </si>
  <si>
    <t>Železniční sdělovací zařízení</t>
  </si>
  <si>
    <t>Silnoproudá technologie včetně DŘT</t>
  </si>
  <si>
    <t>Ostatní technologická zařízení</t>
  </si>
  <si>
    <t>Inženýrské objekty</t>
  </si>
  <si>
    <t>Pozemní stavební objekty</t>
  </si>
  <si>
    <t>Trakční a energetická zařízení</t>
  </si>
  <si>
    <t>Jednoduchá výhybka J60-1:26,5-2500-PHS</t>
  </si>
  <si>
    <t>Jednoduchá výhybka J60-1:18,5-1200</t>
  </si>
  <si>
    <t>Jednoduchá výhybka J60-1:14-760</t>
  </si>
  <si>
    <t>Jednoduchá výhybka J60-1:12-500</t>
  </si>
  <si>
    <t>Jednoduchá výhybka J60-1:11-300</t>
  </si>
  <si>
    <t>Jednoduchá výhybka J60-1:9-300</t>
  </si>
  <si>
    <t>Jednoduchá výhybka J60-1:9-190</t>
  </si>
  <si>
    <t>Jednoduchá výhybka J60-1:7,5-190-I</t>
  </si>
  <si>
    <t>Křižovatková výhybka C60-1:11-300</t>
  </si>
  <si>
    <t>Dvojitá kolejová spojka DKS 60-1:11-300</t>
  </si>
  <si>
    <t>Jednoduchá výhybka J49-1:18,5-1200</t>
  </si>
  <si>
    <t>Jednoduchá výhybka J49-1:14-760</t>
  </si>
  <si>
    <t>Jednoduchá výhybka J49-1:12-500</t>
  </si>
  <si>
    <t>Jednoduchá výhybka J49-1:11-300</t>
  </si>
  <si>
    <t>Jednoduchá výhybka J49-1:9-300</t>
  </si>
  <si>
    <t>Jednoduchá výhybka J49-1:9-190</t>
  </si>
  <si>
    <t>Jednoduchá výhybka J49-1:7,5-190</t>
  </si>
  <si>
    <t>Křižovatková výhybka C49-1:11-300</t>
  </si>
  <si>
    <t>Dvojitá kolejová spojka DKS 49-1:11-300</t>
  </si>
  <si>
    <t>Odvodnění (zpevněný příkop)</t>
  </si>
  <si>
    <t>Železniční most - demolice</t>
  </si>
  <si>
    <t>Železniční most - úprava</t>
  </si>
  <si>
    <t>Rekonstrukce podchodu</t>
  </si>
  <si>
    <t>Opěrné a zárubní zdi - rekonstrukce</t>
  </si>
  <si>
    <t>Opěrné a zárubní zdi - demolice</t>
  </si>
  <si>
    <t>Silniční mosty a nadjezdy - nové</t>
  </si>
  <si>
    <t>Silniční mosty a nadjezdy - demolice</t>
  </si>
  <si>
    <t>Demolice propustku</t>
  </si>
  <si>
    <t>Cenová úroveň</t>
  </si>
  <si>
    <t>Konstrukční vrstvy ve stanici</t>
  </si>
  <si>
    <t>Konstrukční vrstvy v trati</t>
  </si>
  <si>
    <t>Inženýrské sítě (trubní vedení, kabelovody)</t>
  </si>
  <si>
    <t>Přípravná a projektová dokumentace, průzkumy</t>
  </si>
  <si>
    <t>Kalkulace zůstatkové hodnoty</t>
  </si>
  <si>
    <t>Celková investiční náročnost</t>
  </si>
  <si>
    <t>Rekapitulace nákladů pro výpočet CBA</t>
  </si>
  <si>
    <t>Kontrolní rozdělení nákladů dle směrnice                                                                   GŘ SŽDC 11/2006</t>
  </si>
  <si>
    <t>Měrné celkové investiční náklady</t>
  </si>
  <si>
    <t>Demontáž nástupiště</t>
  </si>
  <si>
    <t>Nové nástupiště (nástupištní hrana 550 mm nad TK)</t>
  </si>
  <si>
    <t>Trakční napájecí stanice</t>
  </si>
  <si>
    <t>E19</t>
  </si>
  <si>
    <t>E20</t>
  </si>
  <si>
    <t>E21</t>
  </si>
  <si>
    <t>F09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</si>
  <si>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</si>
  <si>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</si>
  <si>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</si>
  <si>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</si>
  <si>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</si>
  <si>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</si>
  <si>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</si>
  <si>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</si>
  <si>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</si>
  <si>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</si>
  <si>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</si>
  <si>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Silnoproudá technologie</t>
  </si>
  <si>
    <t>Eskalátory</t>
  </si>
  <si>
    <t>Výtahy</t>
  </si>
  <si>
    <t>Konstrukce nástupišť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</si>
  <si>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</si>
  <si>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</si>
  <si>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</si>
  <si>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</si>
  <si>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</si>
  <si>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</si>
  <si>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</si>
  <si>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</si>
  <si>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</si>
  <si>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E31</t>
  </si>
  <si>
    <t>E32</t>
  </si>
  <si>
    <t>E33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</si>
  <si>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</si>
  <si>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</si>
  <si>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</si>
  <si>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</si>
  <si>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</si>
  <si>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</si>
  <si>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</si>
  <si>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</si>
  <si>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</si>
  <si>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</si>
  <si>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</si>
  <si>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</si>
  <si>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</si>
  <si>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</si>
  <si>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</si>
  <si>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</si>
  <si>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</si>
  <si>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J09</t>
  </si>
  <si>
    <t>N08</t>
  </si>
  <si>
    <t>O07</t>
  </si>
  <si>
    <t>O08</t>
  </si>
  <si>
    <t>O09</t>
  </si>
  <si>
    <t>O10</t>
  </si>
  <si>
    <t>O11</t>
  </si>
  <si>
    <t>O12</t>
  </si>
  <si>
    <t>O13</t>
  </si>
  <si>
    <t>O14</t>
  </si>
  <si>
    <t>O15</t>
  </si>
  <si>
    <t>O16</t>
  </si>
  <si>
    <t>P02</t>
  </si>
  <si>
    <t>P03</t>
  </si>
  <si>
    <t>P04</t>
  </si>
  <si>
    <t>P05</t>
  </si>
  <si>
    <t>P06</t>
  </si>
  <si>
    <t>P07</t>
  </si>
  <si>
    <t>Q01</t>
  </si>
  <si>
    <t>Q02</t>
  </si>
  <si>
    <t>Q03</t>
  </si>
  <si>
    <t>Q04</t>
  </si>
  <si>
    <t>Q05</t>
  </si>
  <si>
    <t>Q06</t>
  </si>
  <si>
    <t>Sdělovací zařízení v trati (TRS,...)</t>
  </si>
  <si>
    <t>Sdělovací zařízení v trati (GSM-R)</t>
  </si>
  <si>
    <t>Vybavení budov                       a nástupišť</t>
  </si>
  <si>
    <t>Mosty, propustky a zdi</t>
  </si>
  <si>
    <t>Železniční tunely</t>
  </si>
  <si>
    <t>Protihlukové objekty</t>
  </si>
  <si>
    <t>Trakční zařízení</t>
  </si>
  <si>
    <t>Energetická zařízení</t>
  </si>
  <si>
    <t>Nástupiště a přejezdové konstrukce</t>
  </si>
  <si>
    <t>Přejezdové konstrukce</t>
  </si>
  <si>
    <t>Plochy železničních přejezdů</t>
  </si>
  <si>
    <t>Plochy železničních přechodů</t>
  </si>
  <si>
    <t>Odtěžení starých konstrukčních vrstev</t>
  </si>
  <si>
    <t>Demontáž koleje (dřevěné pražce), výhybky</t>
  </si>
  <si>
    <t>Demontáž koleje (betonové pražce)</t>
  </si>
  <si>
    <t>G08</t>
  </si>
  <si>
    <t>Demolice vozovky / zpevněné plochy</t>
  </si>
  <si>
    <t xml:space="preserve">Šikmý chodník </t>
  </si>
  <si>
    <t xml:space="preserve">Vozovka dálnice </t>
  </si>
  <si>
    <t>Komunikace a zpevněné plochy</t>
  </si>
  <si>
    <t>Mosty, propustky, zdi</t>
  </si>
  <si>
    <t>N09</t>
  </si>
  <si>
    <t>Montáž trakčního vedení, stejnosměrná soustava (stanice)</t>
  </si>
  <si>
    <t>Montáž trakčního vedení, stejnosměrná soustava (trať)</t>
  </si>
  <si>
    <t>Montáž trakčního vedení, střídavá soustava (trať)</t>
  </si>
  <si>
    <t>Montáž trakčního vedení, střídavá soustava (stanice)</t>
  </si>
  <si>
    <t>Databáze rizik</t>
  </si>
  <si>
    <t>Rezerva</t>
  </si>
  <si>
    <t>R01</t>
  </si>
  <si>
    <t>CELKEM BEZ RIZIKOVÉ SLOŽKY</t>
  </si>
  <si>
    <t>CELKEM VČETNĚ RIZIKOVÉ SLOŽKY</t>
  </si>
  <si>
    <t>51</t>
  </si>
  <si>
    <t>41</t>
  </si>
  <si>
    <t>31</t>
  </si>
  <si>
    <t>21</t>
  </si>
  <si>
    <t>11</t>
  </si>
  <si>
    <t>R1</t>
  </si>
  <si>
    <t>R2</t>
  </si>
  <si>
    <t>R3</t>
  </si>
  <si>
    <t>R4</t>
  </si>
  <si>
    <t>R5</t>
  </si>
  <si>
    <t>R6</t>
  </si>
  <si>
    <t>R</t>
  </si>
  <si>
    <t>Řádky 7 - 23 - sloupec CM byl aktualizován dle sloupce W</t>
  </si>
  <si>
    <t>Řádek 256 - byl doplněn koeficient 1 pro získání kalkulované rezervy nákladů</t>
  </si>
  <si>
    <t>Řádek 256 ve sloupcích AN, BE, BV a CM byl aktualizován dle sloupce W</t>
  </si>
  <si>
    <t>Řádky 259 - 270 ve sloupcích AN, BE, BV a CM byly aktualizovány dle sloupce W</t>
  </si>
  <si>
    <t>Řádky 272 - 275 ve sloupcích AN, BE, BV a CM byly aktualizovány dle sloupce W</t>
  </si>
  <si>
    <t>Řádek 287 - doplněn součet km z řádku 6 pro výpočet nákladů na km + aktualizovány vzorce ve sloupcích W, AN, BE, BV a CM</t>
  </si>
  <si>
    <t>Řádek 257 ve sloupcích O, AF, AW, BN a CE opraven součet (doplněna rezerva)</t>
  </si>
  <si>
    <t>doplnění listu pro dopočet inflace</t>
  </si>
  <si>
    <t>doplnění vzorce pro sumář výměr jednotlivých buněk</t>
  </si>
  <si>
    <t>CELKEM VÝMĚRA</t>
  </si>
  <si>
    <t>Charakter rizik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</si>
  <si>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</si>
  <si>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</si>
  <si>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</si>
  <si>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</si>
  <si>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</si>
  <si>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</si>
  <si>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</si>
  <si>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</si>
  <si>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</si>
  <si>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</si>
  <si>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</si>
  <si>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</si>
  <si>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N</t>
  </si>
  <si>
    <t>O</t>
  </si>
  <si>
    <t xml:space="preserve">Silnoproudá technologie </t>
  </si>
  <si>
    <t xml:space="preserve">Železniční svršek </t>
  </si>
  <si>
    <t xml:space="preserve">Železniční spodek </t>
  </si>
  <si>
    <t>Nástupiště a přejezdové</t>
  </si>
  <si>
    <t>Mosty, propustky a</t>
  </si>
  <si>
    <t xml:space="preserve">Inženýrské sítě </t>
  </si>
  <si>
    <t xml:space="preserve">Železniční tunely </t>
  </si>
  <si>
    <t xml:space="preserve">Pozemní komunikace </t>
  </si>
  <si>
    <t xml:space="preserve">Protihlukové objekty </t>
  </si>
  <si>
    <t xml:space="preserve">Trakční zařízení </t>
  </si>
  <si>
    <t xml:space="preserve">Energetická zařízení </t>
  </si>
  <si>
    <t xml:space="preserve">1.  Rizika směrového vedení trasy a průzkumů umístění stavby </t>
  </si>
  <si>
    <t>2.  Rizika technologického vývoje</t>
  </si>
  <si>
    <t xml:space="preserve">3.  Enviromentální rizika </t>
  </si>
  <si>
    <t xml:space="preserve">4. Externí rizika - celospolečenský význam stavby </t>
  </si>
  <si>
    <t xml:space="preserve">5. Legislativní a právní rizika </t>
  </si>
  <si>
    <t>R6.  Predikce ekonomického vývoje</t>
  </si>
  <si>
    <t>doplnění pro výběr charakteru rizik v řádce č. 5</t>
  </si>
  <si>
    <t>úprava vzorců - automatizace výpočtů na listu Dopočet inflace</t>
  </si>
  <si>
    <t>Inflační koeficient</t>
  </si>
  <si>
    <t>rozšíření let realizace</t>
  </si>
  <si>
    <t>úprava vzorců ve smíšené cenové úrovni (SUMIF)</t>
  </si>
  <si>
    <t>Rekonstrukce ŽST Most</t>
  </si>
  <si>
    <t>doplnění maker pro lepší práci se SPOŽESem</t>
  </si>
  <si>
    <t>ZŘ</t>
  </si>
  <si>
    <t>MM</t>
  </si>
  <si>
    <t>03-2020</t>
  </si>
  <si>
    <t>ŽST Most</t>
  </si>
  <si>
    <t>TÚ Most - Most n.n.</t>
  </si>
  <si>
    <t>Přemístění zařízení SŽDC</t>
  </si>
  <si>
    <t>Přemístění zařízení ČDT</t>
  </si>
  <si>
    <t>Odstranní zastřešení</t>
  </si>
  <si>
    <t>Kabelovody</t>
  </si>
  <si>
    <t>Drobná architektura a orientační systém</t>
  </si>
  <si>
    <t>kpl</t>
  </si>
  <si>
    <t>TÚ Obrnice - Most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</si>
</sst>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"/>
    <numFmt numFmtId="166" formatCode="0.000"/>
    <numFmt numFmtId="167" formatCode="#,##0.000"/>
    <numFmt numFmtId="168" formatCode="0.0,%"/>
    <numFmt numFmtId="169" formatCode="#,##0.000000"/>
    <numFmt numFmtId="170" formatCode="0.0%"/>
  </numFmts>
  <fonts count="46" x14ac:knownFonts="1">
    <font>
      <sz val="10"/>
      <name val="Arial CE"/>
      <charset val="238"/>
    </font>
    <font>
      <sz val="11"/>
      <color theme="1"/>
      <name val="Verdana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8"/>
      <name val="Arial CE"/>
      <family val="2"/>
      <charset val="238"/>
    </font>
    <font>
      <i/>
      <sz val="10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indexed="46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name val="Arial CE"/>
    </font>
    <font>
      <sz val="10"/>
      <name val="Helv"/>
    </font>
    <font>
      <b/>
      <sz val="12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</patternFill>
    </fill>
    <fill>
      <patternFill patternType="solid">
        <fgColor indexed="54"/>
      </patternFill>
    </fill>
    <fill>
      <patternFill patternType="solid">
        <fgColor rgb="FF92D050"/>
        <bgColor indexed="64"/>
      </patternFill>
    </fill>
  </fills>
  <borders count="8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5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1" applyNumberFormat="0" applyFill="0" applyAlignment="0" applyProtection="0"/>
    <xf numFmtId="0" fontId="9" fillId="3" borderId="0" applyNumberFormat="0" applyBorder="0" applyAlignment="0" applyProtection="0"/>
    <xf numFmtId="0" fontId="10" fillId="16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  <xf numFmtId="0" fontId="5" fillId="0" borderId="0"/>
    <xf numFmtId="0" fontId="5" fillId="18" borderId="6" applyNumberFormat="0" applyFont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3" borderId="0" applyNumberFormat="0" applyBorder="0" applyAlignment="0" applyProtection="0"/>
    <xf numFmtId="0" fontId="5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6" fillId="33" borderId="0" applyNumberFormat="0" applyBorder="0" applyAlignment="0" applyProtection="0"/>
    <xf numFmtId="0" fontId="6" fillId="7" borderId="0" applyNumberFormat="0" applyBorder="0" applyAlignment="0" applyProtection="0"/>
    <xf numFmtId="0" fontId="6" fillId="18" borderId="0" applyNumberFormat="0" applyBorder="0" applyAlignment="0" applyProtection="0"/>
    <xf numFmtId="0" fontId="6" fillId="33" borderId="0" applyNumberFormat="0" applyBorder="0" applyAlignment="0" applyProtection="0"/>
    <xf numFmtId="0" fontId="6" fillId="19" borderId="0" applyNumberFormat="0" applyBorder="0" applyAlignment="0" applyProtection="0"/>
    <xf numFmtId="0" fontId="6" fillId="17" borderId="0" applyNumberFormat="0" applyBorder="0" applyAlignment="0" applyProtection="0"/>
    <xf numFmtId="0" fontId="6" fillId="19" borderId="0" applyNumberFormat="0" applyBorder="0" applyAlignment="0" applyProtection="0"/>
    <xf numFmtId="0" fontId="6" fillId="7" borderId="0" applyNumberFormat="0" applyBorder="0" applyAlignment="0" applyProtection="0"/>
    <xf numFmtId="0" fontId="31" fillId="14" borderId="0" applyNumberFormat="0" applyBorder="0" applyAlignment="0" applyProtection="0"/>
    <xf numFmtId="0" fontId="31" fillId="9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14" borderId="0" applyNumberFormat="0" applyBorder="0" applyAlignment="0" applyProtection="0"/>
    <xf numFmtId="0" fontId="31" fillId="7" borderId="0" applyNumberFormat="0" applyBorder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0" fontId="8" fillId="0" borderId="84" applyNumberFormat="0" applyFill="0" applyAlignment="0" applyProtection="0"/>
    <xf numFmtId="164" fontId="5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32" fillId="16" borderId="2" applyNumberFormat="0" applyAlignment="0" applyProtection="0"/>
    <xf numFmtId="44" fontId="30" fillId="0" borderId="0" applyFont="0" applyFill="0" applyBorder="0" applyAlignment="0" applyProtection="0"/>
    <xf numFmtId="0" fontId="33" fillId="0" borderId="85" applyNumberFormat="0" applyFill="0" applyAlignment="0" applyProtection="0"/>
    <xf numFmtId="0" fontId="34" fillId="0" borderId="4" applyNumberFormat="0" applyFill="0" applyAlignment="0" applyProtection="0"/>
    <xf numFmtId="0" fontId="35" fillId="0" borderId="86" applyNumberFormat="0" applyFill="0" applyAlignment="0" applyProtection="0"/>
    <xf numFmtId="0" fontId="35" fillId="0" borderId="86" applyNumberFormat="0" applyFill="0" applyAlignment="0" applyProtection="0"/>
    <xf numFmtId="0" fontId="35" fillId="0" borderId="86" applyNumberFormat="0" applyFill="0" applyAlignment="0" applyProtection="0"/>
    <xf numFmtId="0" fontId="35" fillId="0" borderId="86" applyNumberFormat="0" applyFill="0" applyAlignment="0" applyProtection="0"/>
    <xf numFmtId="0" fontId="35" fillId="0" borderId="86" applyNumberFormat="0" applyFill="0" applyAlignment="0" applyProtection="0"/>
    <xf numFmtId="0" fontId="35" fillId="0" borderId="86" applyNumberFormat="0" applyFill="0" applyAlignment="0" applyProtection="0"/>
    <xf numFmtId="0" fontId="35" fillId="0" borderId="86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/>
    <xf numFmtId="0" fontId="37" fillId="0" borderId="0"/>
    <xf numFmtId="0" fontId="29" fillId="0" borderId="0"/>
    <xf numFmtId="0" fontId="29" fillId="0" borderId="0"/>
    <xf numFmtId="0" fontId="38" fillId="0" borderId="0"/>
    <xf numFmtId="0" fontId="38" fillId="0" borderId="0"/>
    <xf numFmtId="0" fontId="2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9" fillId="0" borderId="0"/>
    <xf numFmtId="0" fontId="29" fillId="0" borderId="0"/>
    <xf numFmtId="0" fontId="37" fillId="0" borderId="0"/>
    <xf numFmtId="0" fontId="29" fillId="0" borderId="0"/>
    <xf numFmtId="0" fontId="29" fillId="0" borderId="0">
      <alignment vertical="top"/>
    </xf>
    <xf numFmtId="0" fontId="2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29" fillId="0" borderId="0"/>
    <xf numFmtId="0" fontId="5" fillId="0" borderId="0"/>
    <xf numFmtId="0" fontId="37" fillId="0" borderId="0"/>
    <xf numFmtId="0" fontId="37" fillId="0" borderId="0"/>
    <xf numFmtId="0" fontId="29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37" fillId="0" borderId="0"/>
    <xf numFmtId="0" fontId="37" fillId="0" borderId="0"/>
    <xf numFmtId="0" fontId="29" fillId="0" borderId="0"/>
    <xf numFmtId="0" fontId="37" fillId="0" borderId="0"/>
    <xf numFmtId="0" fontId="37" fillId="0" borderId="0"/>
    <xf numFmtId="0" fontId="29" fillId="0" borderId="0"/>
    <xf numFmtId="0" fontId="37" fillId="0" borderId="0"/>
    <xf numFmtId="0" fontId="37" fillId="0" borderId="0"/>
    <xf numFmtId="0" fontId="40" fillId="0" borderId="0"/>
    <xf numFmtId="0" fontId="40" fillId="0" borderId="0"/>
    <xf numFmtId="0" fontId="4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9" fillId="0" borderId="0"/>
    <xf numFmtId="0" fontId="37" fillId="0" borderId="0"/>
    <xf numFmtId="0" fontId="37" fillId="0" borderId="0"/>
    <xf numFmtId="0" fontId="40" fillId="0" borderId="0"/>
    <xf numFmtId="0" fontId="40" fillId="0" borderId="0"/>
    <xf numFmtId="0" fontId="4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0" fontId="29" fillId="18" borderId="6" applyNumberFormat="0" applyFont="0" applyAlignment="0" applyProtection="0"/>
    <xf numFmtId="9" fontId="2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42" fillId="0" borderId="0"/>
    <xf numFmtId="0" fontId="19" fillId="7" borderId="8" applyNumberFormat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19" fillId="7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0" fillId="33" borderId="8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21" fillId="33" borderId="9" applyNumberFormat="0" applyAlignment="0" applyProtection="0"/>
    <xf numFmtId="0" fontId="31" fillId="14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34" borderId="0" applyNumberFormat="0" applyBorder="0" applyAlignment="0" applyProtection="0"/>
    <xf numFmtId="0" fontId="31" fillId="14" borderId="0" applyNumberFormat="0" applyBorder="0" applyAlignment="0" applyProtection="0"/>
    <xf numFmtId="0" fontId="31" fillId="23" borderId="0" applyNumberFormat="0" applyBorder="0" applyAlignment="0" applyProtection="0"/>
  </cellStyleXfs>
  <cellXfs count="46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26" borderId="22" xfId="0" applyFont="1" applyFill="1" applyBorder="1" applyAlignment="1">
      <alignment horizontal="center" vertical="center" wrapText="1"/>
    </xf>
    <xf numFmtId="166" fontId="4" fillId="0" borderId="29" xfId="0" applyNumberFormat="1" applyFont="1" applyFill="1" applyBorder="1" applyAlignment="1">
      <alignment horizontal="center" vertical="center"/>
    </xf>
    <xf numFmtId="166" fontId="4" fillId="0" borderId="30" xfId="0" applyNumberFormat="1" applyFont="1" applyFill="1" applyBorder="1" applyAlignment="1">
      <alignment horizontal="center" vertical="center"/>
    </xf>
    <xf numFmtId="166" fontId="4" fillId="0" borderId="31" xfId="0" applyNumberFormat="1" applyFont="1" applyFill="1" applyBorder="1" applyAlignment="1">
      <alignment horizontal="center" vertical="center"/>
    </xf>
    <xf numFmtId="166" fontId="4" fillId="0" borderId="32" xfId="0" quotePrefix="1" applyNumberFormat="1" applyFont="1" applyBorder="1" applyAlignment="1">
      <alignment horizontal="center" vertical="center"/>
    </xf>
    <xf numFmtId="166" fontId="4" fillId="0" borderId="12" xfId="0" applyNumberFormat="1" applyFont="1" applyBorder="1" applyAlignment="1">
      <alignment horizontal="center" vertical="center"/>
    </xf>
    <xf numFmtId="166" fontId="4" fillId="0" borderId="33" xfId="0" applyNumberFormat="1" applyFont="1" applyBorder="1" applyAlignment="1">
      <alignment horizontal="center" vertical="center"/>
    </xf>
    <xf numFmtId="1" fontId="4" fillId="0" borderId="36" xfId="0" applyNumberFormat="1" applyFont="1" applyFill="1" applyBorder="1" applyAlignment="1">
      <alignment vertical="center"/>
    </xf>
    <xf numFmtId="1" fontId="4" fillId="0" borderId="11" xfId="0" applyNumberFormat="1" applyFont="1" applyFill="1" applyBorder="1" applyAlignment="1">
      <alignment vertical="center"/>
    </xf>
    <xf numFmtId="1" fontId="4" fillId="0" borderId="37" xfId="0" applyNumberFormat="1" applyFont="1" applyFill="1" applyBorder="1" applyAlignment="1">
      <alignment vertical="center"/>
    </xf>
    <xf numFmtId="1" fontId="4" fillId="0" borderId="38" xfId="0" applyNumberFormat="1" applyFont="1" applyFill="1" applyBorder="1" applyAlignment="1">
      <alignment vertical="center"/>
    </xf>
    <xf numFmtId="1" fontId="4" fillId="0" borderId="17" xfId="0" applyNumberFormat="1" applyFont="1" applyFill="1" applyBorder="1" applyAlignment="1">
      <alignment vertical="center"/>
    </xf>
    <xf numFmtId="1" fontId="4" fillId="0" borderId="39" xfId="0" applyNumberFormat="1" applyFont="1" applyFill="1" applyBorder="1" applyAlignment="1">
      <alignment vertical="center"/>
    </xf>
    <xf numFmtId="1" fontId="4" fillId="0" borderId="29" xfId="0" applyNumberFormat="1" applyFont="1" applyFill="1" applyBorder="1" applyAlignment="1">
      <alignment vertical="center"/>
    </xf>
    <xf numFmtId="1" fontId="4" fillId="0" borderId="30" xfId="0" applyNumberFormat="1" applyFont="1" applyFill="1" applyBorder="1" applyAlignment="1">
      <alignment vertical="center"/>
    </xf>
    <xf numFmtId="1" fontId="4" fillId="0" borderId="31" xfId="0" applyNumberFormat="1" applyFont="1" applyFill="1" applyBorder="1" applyAlignment="1">
      <alignment vertical="center"/>
    </xf>
    <xf numFmtId="0" fontId="4" fillId="0" borderId="29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0" fontId="4" fillId="0" borderId="29" xfId="0" applyNumberFormat="1" applyFont="1" applyFill="1" applyBorder="1" applyAlignment="1">
      <alignment vertical="center"/>
    </xf>
    <xf numFmtId="166" fontId="4" fillId="0" borderId="30" xfId="0" applyNumberFormat="1" applyFont="1" applyFill="1" applyBorder="1" applyAlignment="1">
      <alignment vertical="center"/>
    </xf>
    <xf numFmtId="0" fontId="4" fillId="0" borderId="0" xfId="0" applyFont="1" applyBorder="1"/>
    <xf numFmtId="0" fontId="2" fillId="0" borderId="0" xfId="0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66" fontId="4" fillId="0" borderId="18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6" fontId="4" fillId="0" borderId="42" xfId="0" applyNumberFormat="1" applyFont="1" applyFill="1" applyBorder="1" applyAlignment="1">
      <alignment horizontal="center" vertical="center"/>
    </xf>
    <xf numFmtId="166" fontId="4" fillId="0" borderId="45" xfId="0" quotePrefix="1" applyNumberFormat="1" applyFont="1" applyBorder="1" applyAlignment="1">
      <alignment horizontal="center" vertical="center"/>
    </xf>
    <xf numFmtId="166" fontId="4" fillId="0" borderId="25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1" fontId="4" fillId="0" borderId="49" xfId="0" applyNumberFormat="1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" fontId="4" fillId="0" borderId="51" xfId="0" applyNumberFormat="1" applyFont="1" applyFill="1" applyBorder="1" applyAlignment="1">
      <alignment vertical="center"/>
    </xf>
    <xf numFmtId="0" fontId="4" fillId="0" borderId="51" xfId="0" applyFont="1" applyFill="1" applyBorder="1" applyAlignment="1">
      <alignment vertical="center"/>
    </xf>
    <xf numFmtId="1" fontId="4" fillId="0" borderId="18" xfId="0" applyNumberFormat="1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8" xfId="0" applyNumberFormat="1" applyFont="1" applyFill="1" applyBorder="1" applyAlignment="1">
      <alignment vertical="center"/>
    </xf>
    <xf numFmtId="0" fontId="4" fillId="0" borderId="30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165" fontId="4" fillId="0" borderId="18" xfId="0" applyNumberFormat="1" applyFont="1" applyFill="1" applyBorder="1" applyAlignment="1">
      <alignment vertical="center"/>
    </xf>
    <xf numFmtId="165" fontId="4" fillId="0" borderId="29" xfId="0" applyNumberFormat="1" applyFont="1" applyFill="1" applyBorder="1" applyAlignment="1">
      <alignment vertical="center"/>
    </xf>
    <xf numFmtId="0" fontId="4" fillId="0" borderId="51" xfId="0" applyNumberFormat="1" applyFont="1" applyFill="1" applyBorder="1" applyAlignment="1">
      <alignment vertical="center"/>
    </xf>
    <xf numFmtId="0" fontId="4" fillId="0" borderId="17" xfId="0" applyNumberFormat="1" applyFont="1" applyFill="1" applyBorder="1" applyAlignment="1">
      <alignment vertical="center"/>
    </xf>
    <xf numFmtId="0" fontId="4" fillId="0" borderId="39" xfId="0" applyNumberFormat="1" applyFont="1" applyFill="1" applyBorder="1" applyAlignment="1">
      <alignment vertical="center"/>
    </xf>
    <xf numFmtId="0" fontId="4" fillId="0" borderId="38" xfId="0" applyNumberFormat="1" applyFont="1" applyFill="1" applyBorder="1" applyAlignment="1">
      <alignment vertical="center"/>
    </xf>
    <xf numFmtId="0" fontId="4" fillId="0" borderId="3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37" xfId="0" applyFont="1" applyFill="1" applyBorder="1" applyAlignment="1">
      <alignment vertical="center"/>
    </xf>
    <xf numFmtId="166" fontId="4" fillId="0" borderId="29" xfId="0" applyNumberFormat="1" applyFont="1" applyFill="1" applyBorder="1" applyAlignment="1">
      <alignment vertical="center"/>
    </xf>
    <xf numFmtId="1" fontId="4" fillId="0" borderId="57" xfId="0" applyNumberFormat="1" applyFont="1" applyFill="1" applyBorder="1" applyAlignment="1">
      <alignment vertical="center"/>
    </xf>
    <xf numFmtId="1" fontId="4" fillId="0" borderId="58" xfId="0" applyNumberFormat="1" applyFont="1" applyFill="1" applyBorder="1" applyAlignment="1">
      <alignment vertical="center"/>
    </xf>
    <xf numFmtId="1" fontId="4" fillId="0" borderId="59" xfId="0" applyNumberFormat="1" applyFont="1" applyFill="1" applyBorder="1" applyAlignment="1">
      <alignment vertical="center"/>
    </xf>
    <xf numFmtId="1" fontId="4" fillId="0" borderId="56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57" xfId="0" applyFont="1" applyFill="1" applyBorder="1" applyAlignment="1">
      <alignment vertical="center"/>
    </xf>
    <xf numFmtId="0" fontId="4" fillId="0" borderId="59" xfId="0" applyFont="1" applyFill="1" applyBorder="1" applyAlignment="1">
      <alignment vertical="center"/>
    </xf>
    <xf numFmtId="0" fontId="4" fillId="0" borderId="58" xfId="0" applyFont="1" applyFill="1" applyBorder="1" applyAlignment="1">
      <alignment vertical="center"/>
    </xf>
    <xf numFmtId="0" fontId="4" fillId="0" borderId="56" xfId="0" applyFont="1" applyFill="1" applyBorder="1" applyAlignment="1">
      <alignment vertical="center"/>
    </xf>
    <xf numFmtId="0" fontId="4" fillId="0" borderId="14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4" fillId="28" borderId="30" xfId="0" applyFont="1" applyFill="1" applyBorder="1"/>
    <xf numFmtId="0" fontId="4" fillId="28" borderId="51" xfId="0" applyFont="1" applyFill="1" applyBorder="1" applyAlignment="1">
      <alignment vertical="center"/>
    </xf>
    <xf numFmtId="167" fontId="4" fillId="28" borderId="22" xfId="0" applyNumberFormat="1" applyFont="1" applyFill="1" applyBorder="1" applyAlignment="1">
      <alignment vertical="center"/>
    </xf>
    <xf numFmtId="167" fontId="4" fillId="28" borderId="42" xfId="0" applyNumberFormat="1" applyFont="1" applyFill="1" applyBorder="1" applyAlignment="1">
      <alignment vertical="center"/>
    </xf>
    <xf numFmtId="167" fontId="4" fillId="28" borderId="24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7" fontId="4" fillId="0" borderId="50" xfId="0" applyNumberFormat="1" applyFont="1" applyFill="1" applyBorder="1" applyAlignment="1">
      <alignment horizontal="right" vertical="center"/>
    </xf>
    <xf numFmtId="0" fontId="4" fillId="25" borderId="30" xfId="0" applyFont="1" applyFill="1" applyBorder="1"/>
    <xf numFmtId="0" fontId="4" fillId="25" borderId="30" xfId="0" applyFont="1" applyFill="1" applyBorder="1" applyAlignment="1">
      <alignment horizontal="center"/>
    </xf>
    <xf numFmtId="0" fontId="4" fillId="28" borderId="18" xfId="0" applyFont="1" applyFill="1" applyBorder="1" applyAlignment="1">
      <alignment vertical="center"/>
    </xf>
    <xf numFmtId="0" fontId="4" fillId="28" borderId="19" xfId="0" applyFont="1" applyFill="1" applyBorder="1" applyAlignment="1">
      <alignment horizontal="center"/>
    </xf>
    <xf numFmtId="0" fontId="4" fillId="29" borderId="61" xfId="0" applyFont="1" applyFill="1" applyBorder="1"/>
    <xf numFmtId="0" fontId="4" fillId="29" borderId="66" xfId="0" applyFont="1" applyFill="1" applyBorder="1"/>
    <xf numFmtId="0" fontId="4" fillId="29" borderId="66" xfId="0" applyFont="1" applyFill="1" applyBorder="1" applyAlignment="1">
      <alignment horizontal="center"/>
    </xf>
    <xf numFmtId="0" fontId="4" fillId="29" borderId="23" xfId="0" applyFont="1" applyFill="1" applyBorder="1" applyAlignment="1">
      <alignment vertical="center"/>
    </xf>
    <xf numFmtId="168" fontId="4" fillId="29" borderId="23" xfId="0" applyNumberFormat="1" applyFont="1" applyFill="1" applyBorder="1" applyAlignment="1">
      <alignment horizontal="right" vertical="center"/>
    </xf>
    <xf numFmtId="167" fontId="4" fillId="29" borderId="23" xfId="0" applyNumberFormat="1" applyFont="1" applyFill="1" applyBorder="1" applyAlignment="1">
      <alignment horizontal="right" vertical="center"/>
    </xf>
    <xf numFmtId="167" fontId="4" fillId="29" borderId="23" xfId="0" applyNumberFormat="1" applyFont="1" applyFill="1" applyBorder="1" applyAlignment="1">
      <alignment vertical="center"/>
    </xf>
    <xf numFmtId="167" fontId="4" fillId="29" borderId="13" xfId="0" applyNumberFormat="1" applyFont="1" applyFill="1" applyBorder="1" applyAlignment="1">
      <alignment vertical="center"/>
    </xf>
    <xf numFmtId="0" fontId="4" fillId="28" borderId="49" xfId="0" applyFont="1" applyFill="1" applyBorder="1" applyAlignment="1">
      <alignment vertical="center"/>
    </xf>
    <xf numFmtId="2" fontId="4" fillId="0" borderId="18" xfId="0" applyNumberFormat="1" applyFont="1" applyFill="1" applyBorder="1" applyAlignment="1">
      <alignment vertical="center"/>
    </xf>
    <xf numFmtId="0" fontId="4" fillId="24" borderId="0" xfId="0" applyFont="1" applyFill="1" applyBorder="1" applyAlignment="1">
      <alignment vertical="center"/>
    </xf>
    <xf numFmtId="0" fontId="4" fillId="31" borderId="19" xfId="0" applyFont="1" applyFill="1" applyBorder="1" applyAlignment="1">
      <alignment horizontal="center"/>
    </xf>
    <xf numFmtId="0" fontId="4" fillId="31" borderId="30" xfId="0" applyFont="1" applyFill="1" applyBorder="1"/>
    <xf numFmtId="0" fontId="4" fillId="24" borderId="17" xfId="0" applyFont="1" applyFill="1" applyBorder="1" applyAlignment="1">
      <alignment horizontal="center"/>
    </xf>
    <xf numFmtId="0" fontId="4" fillId="24" borderId="30" xfId="0" applyFont="1" applyFill="1" applyBorder="1" applyAlignment="1">
      <alignment horizontal="center"/>
    </xf>
    <xf numFmtId="0" fontId="4" fillId="24" borderId="30" xfId="0" applyFont="1" applyFill="1" applyBorder="1"/>
    <xf numFmtId="0" fontId="4" fillId="24" borderId="39" xfId="0" applyFont="1" applyFill="1" applyBorder="1" applyAlignment="1">
      <alignment horizontal="center"/>
    </xf>
    <xf numFmtId="0" fontId="4" fillId="24" borderId="17" xfId="0" applyFont="1" applyFill="1" applyBorder="1" applyAlignment="1"/>
    <xf numFmtId="0" fontId="4" fillId="24" borderId="11" xfId="0" applyFont="1" applyFill="1" applyBorder="1" applyAlignment="1">
      <alignment horizontal="center"/>
    </xf>
    <xf numFmtId="0" fontId="4" fillId="24" borderId="31" xfId="0" applyFont="1" applyFill="1" applyBorder="1" applyAlignment="1">
      <alignment horizontal="center"/>
    </xf>
    <xf numFmtId="0" fontId="4" fillId="24" borderId="30" xfId="0" applyFont="1" applyFill="1" applyBorder="1" applyAlignment="1"/>
    <xf numFmtId="0" fontId="4" fillId="24" borderId="33" xfId="0" applyFont="1" applyFill="1" applyBorder="1" applyAlignment="1">
      <alignment horizontal="center"/>
    </xf>
    <xf numFmtId="0" fontId="4" fillId="24" borderId="12" xfId="0" applyFont="1" applyFill="1" applyBorder="1" applyAlignment="1"/>
    <xf numFmtId="0" fontId="4" fillId="24" borderId="12" xfId="0" applyFont="1" applyFill="1" applyBorder="1" applyAlignment="1">
      <alignment horizontal="center"/>
    </xf>
    <xf numFmtId="0" fontId="4" fillId="25" borderId="55" xfId="0" applyFont="1" applyFill="1" applyBorder="1" applyAlignment="1">
      <alignment horizontal="center"/>
    </xf>
    <xf numFmtId="0" fontId="4" fillId="24" borderId="75" xfId="0" applyFont="1" applyFill="1" applyBorder="1" applyAlignment="1">
      <alignment horizontal="center" vertical="center"/>
    </xf>
    <xf numFmtId="0" fontId="3" fillId="25" borderId="40" xfId="0" applyFont="1" applyFill="1" applyBorder="1" applyAlignment="1">
      <alignment horizontal="right" vertical="center"/>
    </xf>
    <xf numFmtId="0" fontId="3" fillId="25" borderId="14" xfId="0" applyFont="1" applyFill="1" applyBorder="1" applyAlignment="1">
      <alignment horizontal="right" vertical="center"/>
    </xf>
    <xf numFmtId="0" fontId="4" fillId="25" borderId="14" xfId="0" applyFont="1" applyFill="1" applyBorder="1" applyAlignment="1">
      <alignment horizontal="right" vertical="center"/>
    </xf>
    <xf numFmtId="0" fontId="4" fillId="25" borderId="44" xfId="0" applyFont="1" applyFill="1" applyBorder="1" applyAlignment="1">
      <alignment horizontal="right" vertical="center"/>
    </xf>
    <xf numFmtId="0" fontId="4" fillId="31" borderId="18" xfId="0" applyFont="1" applyFill="1" applyBorder="1" applyAlignment="1">
      <alignment vertical="center"/>
    </xf>
    <xf numFmtId="0" fontId="4" fillId="24" borderId="15" xfId="0" applyFont="1" applyFill="1" applyBorder="1" applyAlignment="1">
      <alignment vertical="center"/>
    </xf>
    <xf numFmtId="0" fontId="4" fillId="24" borderId="65" xfId="0" applyFont="1" applyFill="1" applyBorder="1" applyAlignment="1">
      <alignment vertical="center"/>
    </xf>
    <xf numFmtId="0" fontId="4" fillId="24" borderId="16" xfId="0" applyFont="1" applyFill="1" applyBorder="1" applyAlignment="1">
      <alignment vertical="center"/>
    </xf>
    <xf numFmtId="170" fontId="4" fillId="25" borderId="61" xfId="0" applyNumberFormat="1" applyFont="1" applyFill="1" applyBorder="1" applyAlignment="1">
      <alignment horizontal="right" vertical="center"/>
    </xf>
    <xf numFmtId="168" fontId="4" fillId="25" borderId="66" xfId="0" applyNumberFormat="1" applyFont="1" applyFill="1" applyBorder="1" applyAlignment="1">
      <alignment horizontal="right" vertical="center"/>
    </xf>
    <xf numFmtId="170" fontId="4" fillId="24" borderId="51" xfId="0" applyNumberFormat="1" applyFont="1" applyFill="1" applyBorder="1" applyAlignment="1">
      <alignment horizontal="right" vertical="center"/>
    </xf>
    <xf numFmtId="168" fontId="4" fillId="24" borderId="17" xfId="0" applyNumberFormat="1" applyFont="1" applyFill="1" applyBorder="1" applyAlignment="1">
      <alignment horizontal="right" vertical="center"/>
    </xf>
    <xf numFmtId="167" fontId="4" fillId="24" borderId="47" xfId="0" applyNumberFormat="1" applyFont="1" applyFill="1" applyBorder="1" applyAlignment="1">
      <alignment vertical="center"/>
    </xf>
    <xf numFmtId="170" fontId="4" fillId="24" borderId="18" xfId="0" applyNumberFormat="1" applyFont="1" applyFill="1" applyBorder="1" applyAlignment="1">
      <alignment horizontal="right" vertical="center"/>
    </xf>
    <xf numFmtId="168" fontId="4" fillId="24" borderId="30" xfId="0" applyNumberFormat="1" applyFont="1" applyFill="1" applyBorder="1" applyAlignment="1">
      <alignment horizontal="right" vertical="center"/>
    </xf>
    <xf numFmtId="167" fontId="4" fillId="24" borderId="41" xfId="0" applyNumberFormat="1" applyFont="1" applyFill="1" applyBorder="1" applyAlignment="1">
      <alignment vertical="center"/>
    </xf>
    <xf numFmtId="170" fontId="4" fillId="24" borderId="57" xfId="0" applyNumberFormat="1" applyFont="1" applyFill="1" applyBorder="1" applyAlignment="1">
      <alignment horizontal="right" vertical="center"/>
    </xf>
    <xf numFmtId="168" fontId="4" fillId="24" borderId="58" xfId="0" applyNumberFormat="1" applyFont="1" applyFill="1" applyBorder="1" applyAlignment="1">
      <alignment horizontal="right" vertical="center"/>
    </xf>
    <xf numFmtId="170" fontId="4" fillId="24" borderId="45" xfId="0" applyNumberFormat="1" applyFont="1" applyFill="1" applyBorder="1" applyAlignment="1">
      <alignment horizontal="right" vertical="center"/>
    </xf>
    <xf numFmtId="168" fontId="4" fillId="24" borderId="12" xfId="0" applyNumberFormat="1" applyFont="1" applyFill="1" applyBorder="1" applyAlignment="1">
      <alignment horizontal="right" vertical="center"/>
    </xf>
    <xf numFmtId="167" fontId="4" fillId="24" borderId="46" xfId="0" applyNumberFormat="1" applyFont="1" applyFill="1" applyBorder="1" applyAlignment="1">
      <alignment vertical="center"/>
    </xf>
    <xf numFmtId="167" fontId="4" fillId="24" borderId="46" xfId="0" applyNumberFormat="1" applyFont="1" applyFill="1" applyBorder="1" applyAlignment="1">
      <alignment horizontal="right" vertical="center"/>
    </xf>
    <xf numFmtId="167" fontId="4" fillId="24" borderId="13" xfId="0" applyNumberFormat="1" applyFont="1" applyFill="1" applyBorder="1" applyAlignment="1">
      <alignment vertical="center"/>
    </xf>
    <xf numFmtId="167" fontId="4" fillId="24" borderId="42" xfId="0" applyNumberFormat="1" applyFont="1" applyFill="1" applyBorder="1" applyAlignment="1">
      <alignment vertical="center"/>
    </xf>
    <xf numFmtId="167" fontId="4" fillId="24" borderId="25" xfId="0" applyNumberFormat="1" applyFont="1" applyFill="1" applyBorder="1" applyAlignment="1">
      <alignment vertical="center"/>
    </xf>
    <xf numFmtId="167" fontId="4" fillId="29" borderId="69" xfId="0" applyNumberFormat="1" applyFont="1" applyFill="1" applyBorder="1" applyAlignment="1">
      <alignment horizontal="right" vertical="center"/>
    </xf>
    <xf numFmtId="167" fontId="4" fillId="24" borderId="25" xfId="0" applyNumberFormat="1" applyFont="1" applyFill="1" applyBorder="1" applyAlignment="1">
      <alignment horizontal="right" vertical="center"/>
    </xf>
    <xf numFmtId="167" fontId="4" fillId="31" borderId="22" xfId="0" applyNumberFormat="1" applyFont="1" applyFill="1" applyBorder="1" applyAlignment="1">
      <alignment vertical="center"/>
    </xf>
    <xf numFmtId="0" fontId="4" fillId="25" borderId="68" xfId="0" applyFont="1" applyFill="1" applyBorder="1" applyAlignment="1">
      <alignment horizontal="center" vertical="center"/>
    </xf>
    <xf numFmtId="0" fontId="4" fillId="25" borderId="77" xfId="0" applyFont="1" applyFill="1" applyBorder="1" applyAlignment="1">
      <alignment horizontal="center" vertical="center"/>
    </xf>
    <xf numFmtId="2" fontId="3" fillId="26" borderId="79" xfId="0" applyNumberFormat="1" applyFont="1" applyFill="1" applyBorder="1" applyAlignment="1">
      <alignment horizontal="center" vertical="center"/>
    </xf>
    <xf numFmtId="0" fontId="4" fillId="25" borderId="43" xfId="0" applyFont="1" applyFill="1" applyBorder="1" applyAlignment="1">
      <alignment horizontal="center" vertical="center"/>
    </xf>
    <xf numFmtId="0" fontId="4" fillId="25" borderId="62" xfId="0" applyFont="1" applyFill="1" applyBorder="1" applyAlignment="1">
      <alignment horizontal="center" vertical="center"/>
    </xf>
    <xf numFmtId="167" fontId="4" fillId="31" borderId="24" xfId="0" applyNumberFormat="1" applyFont="1" applyFill="1" applyBorder="1" applyAlignment="1">
      <alignment vertical="center"/>
    </xf>
    <xf numFmtId="170" fontId="4" fillId="24" borderId="38" xfId="0" applyNumberFormat="1" applyFont="1" applyFill="1" applyBorder="1" applyAlignment="1">
      <alignment horizontal="right" vertical="center"/>
    </xf>
    <xf numFmtId="170" fontId="4" fillId="24" borderId="29" xfId="0" applyNumberFormat="1" applyFont="1" applyFill="1" applyBorder="1" applyAlignment="1">
      <alignment horizontal="right" vertical="center"/>
    </xf>
    <xf numFmtId="170" fontId="4" fillId="24" borderId="59" xfId="0" applyNumberFormat="1" applyFont="1" applyFill="1" applyBorder="1" applyAlignment="1">
      <alignment horizontal="right" vertical="center"/>
    </xf>
    <xf numFmtId="170" fontId="4" fillId="25" borderId="81" xfId="0" applyNumberFormat="1" applyFont="1" applyFill="1" applyBorder="1" applyAlignment="1">
      <alignment horizontal="right" vertical="center"/>
    </xf>
    <xf numFmtId="170" fontId="4" fillId="24" borderId="32" xfId="0" applyNumberFormat="1" applyFont="1" applyFill="1" applyBorder="1" applyAlignment="1">
      <alignment horizontal="right" vertical="center"/>
    </xf>
    <xf numFmtId="0" fontId="4" fillId="24" borderId="58" xfId="0" applyFont="1" applyFill="1" applyBorder="1" applyAlignment="1">
      <alignment horizontal="center"/>
    </xf>
    <xf numFmtId="0" fontId="4" fillId="24" borderId="58" xfId="0" applyFont="1" applyFill="1" applyBorder="1" applyAlignment="1">
      <alignment horizontal="center" vertical="center" wrapText="1"/>
    </xf>
    <xf numFmtId="0" fontId="4" fillId="25" borderId="2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4" fillId="25" borderId="27" xfId="0" applyFont="1" applyFill="1" applyBorder="1" applyAlignment="1">
      <alignment horizontal="center" vertical="center"/>
    </xf>
    <xf numFmtId="0" fontId="24" fillId="25" borderId="72" xfId="0" applyFont="1" applyFill="1" applyBorder="1" applyAlignment="1">
      <alignment horizontal="center" vertical="center" wrapText="1"/>
    </xf>
    <xf numFmtId="0" fontId="4" fillId="25" borderId="10" xfId="0" applyFont="1" applyFill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49" fontId="2" fillId="0" borderId="53" xfId="0" applyNumberFormat="1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35" xfId="0" applyFont="1" applyBorder="1" applyAlignment="1">
      <alignment horizontal="center" vertical="center"/>
    </xf>
    <xf numFmtId="0" fontId="4" fillId="25" borderId="0" xfId="0" applyFont="1" applyFill="1" applyBorder="1" applyAlignment="1">
      <alignment horizontal="center" vertical="center"/>
    </xf>
    <xf numFmtId="0" fontId="27" fillId="0" borderId="20" xfId="0" applyFont="1" applyFill="1" applyBorder="1" applyAlignment="1">
      <alignment vertical="center" wrapText="1"/>
    </xf>
    <xf numFmtId="0" fontId="27" fillId="0" borderId="30" xfId="0" applyFont="1" applyFill="1" applyBorder="1" applyAlignment="1">
      <alignment vertical="center" wrapText="1"/>
    </xf>
    <xf numFmtId="0" fontId="27" fillId="0" borderId="21" xfId="0" applyFont="1" applyFill="1" applyBorder="1" applyAlignment="1">
      <alignment vertical="center" wrapText="1"/>
    </xf>
    <xf numFmtId="0" fontId="27" fillId="0" borderId="30" xfId="0" applyFont="1" applyFill="1" applyBorder="1" applyAlignment="1">
      <alignment horizontal="center" vertical="center" wrapText="1"/>
    </xf>
    <xf numFmtId="0" fontId="4" fillId="25" borderId="27" xfId="0" applyFont="1" applyFill="1" applyBorder="1" applyAlignment="1">
      <alignment horizontal="center" vertical="center"/>
    </xf>
    <xf numFmtId="0" fontId="4" fillId="25" borderId="72" xfId="0" applyFont="1" applyFill="1" applyBorder="1" applyAlignment="1">
      <alignment horizontal="center" vertical="center"/>
    </xf>
    <xf numFmtId="0" fontId="4" fillId="25" borderId="15" xfId="0" applyFont="1" applyFill="1" applyBorder="1" applyAlignment="1">
      <alignment horizontal="center" vertical="center"/>
    </xf>
    <xf numFmtId="166" fontId="4" fillId="25" borderId="15" xfId="0" applyNumberFormat="1" applyFont="1" applyFill="1" applyBorder="1" applyAlignment="1">
      <alignment horizontal="center" vertical="center"/>
    </xf>
    <xf numFmtId="166" fontId="4" fillId="25" borderId="0" xfId="0" applyNumberFormat="1" applyFont="1" applyFill="1" applyBorder="1" applyAlignment="1">
      <alignment horizontal="center" vertical="center"/>
    </xf>
    <xf numFmtId="166" fontId="4" fillId="0" borderId="41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vertical="center"/>
    </xf>
    <xf numFmtId="49" fontId="4" fillId="0" borderId="55" xfId="0" applyNumberFormat="1" applyFont="1" applyBorder="1" applyAlignment="1">
      <alignment horizontal="center" vertical="center"/>
    </xf>
    <xf numFmtId="49" fontId="4" fillId="25" borderId="43" xfId="0" applyNumberFormat="1" applyFont="1" applyFill="1" applyBorder="1" applyAlignment="1">
      <alignment horizontal="center" vertical="center"/>
    </xf>
    <xf numFmtId="166" fontId="4" fillId="25" borderId="43" xfId="0" applyNumberFormat="1" applyFont="1" applyFill="1" applyBorder="1" applyAlignment="1">
      <alignment horizontal="center" vertical="center"/>
    </xf>
    <xf numFmtId="166" fontId="4" fillId="25" borderId="62" xfId="0" applyNumberFormat="1" applyFont="1" applyFill="1" applyBorder="1" applyAlignment="1">
      <alignment horizontal="center" vertical="center"/>
    </xf>
    <xf numFmtId="166" fontId="4" fillId="0" borderId="46" xfId="0" applyNumberFormat="1" applyFont="1" applyFill="1" applyBorder="1" applyAlignment="1">
      <alignment horizontal="center" vertical="center"/>
    </xf>
    <xf numFmtId="0" fontId="4" fillId="25" borderId="61" xfId="0" applyFont="1" applyFill="1" applyBorder="1" applyAlignment="1">
      <alignment horizontal="center" vertical="center"/>
    </xf>
    <xf numFmtId="0" fontId="4" fillId="25" borderId="23" xfId="0" applyFont="1" applyFill="1" applyBorder="1" applyAlignment="1">
      <alignment horizontal="center" vertical="center"/>
    </xf>
    <xf numFmtId="0" fontId="4" fillId="25" borderId="66" xfId="0" applyFont="1" applyFill="1" applyBorder="1" applyAlignment="1">
      <alignment horizontal="center" vertical="center"/>
    </xf>
    <xf numFmtId="0" fontId="4" fillId="25" borderId="67" xfId="0" applyFont="1" applyFill="1" applyBorder="1" applyAlignment="1">
      <alignment horizontal="center" vertical="center"/>
    </xf>
    <xf numFmtId="0" fontId="4" fillId="25" borderId="73" xfId="0" applyFont="1" applyFill="1" applyBorder="1" applyAlignment="1">
      <alignment vertical="center"/>
    </xf>
    <xf numFmtId="2" fontId="4" fillId="25" borderId="26" xfId="0" applyNumberFormat="1" applyFont="1" applyFill="1" applyBorder="1" applyAlignment="1">
      <alignment horizontal="center" vertical="center"/>
    </xf>
    <xf numFmtId="2" fontId="3" fillId="25" borderId="0" xfId="0" applyNumberFormat="1" applyFont="1" applyFill="1" applyBorder="1" applyAlignment="1">
      <alignment horizontal="center" vertical="center"/>
    </xf>
    <xf numFmtId="2" fontId="4" fillId="25" borderId="47" xfId="0" applyNumberFormat="1" applyFont="1" applyFill="1" applyBorder="1" applyAlignment="1">
      <alignment horizontal="center" vertical="center"/>
    </xf>
    <xf numFmtId="2" fontId="4" fillId="25" borderId="66" xfId="0" applyNumberFormat="1" applyFont="1" applyFill="1" applyBorder="1" applyAlignment="1">
      <alignment horizontal="center" vertical="center"/>
    </xf>
    <xf numFmtId="2" fontId="4" fillId="25" borderId="74" xfId="0" applyNumberFormat="1" applyFont="1" applyFill="1" applyBorder="1" applyAlignment="1">
      <alignment horizontal="center" vertical="center"/>
    </xf>
    <xf numFmtId="2" fontId="4" fillId="25" borderId="76" xfId="0" applyNumberFormat="1" applyFont="1" applyFill="1" applyBorder="1" applyAlignment="1">
      <alignment horizontal="center" vertical="center"/>
    </xf>
    <xf numFmtId="2" fontId="3" fillId="25" borderId="62" xfId="0" applyNumberFormat="1" applyFont="1" applyFill="1" applyBorder="1" applyAlignment="1">
      <alignment horizontal="center" vertical="center"/>
    </xf>
    <xf numFmtId="0" fontId="4" fillId="31" borderId="17" xfId="0" applyFont="1" applyFill="1" applyBorder="1" applyAlignment="1">
      <alignment horizontal="center" vertical="center"/>
    </xf>
    <xf numFmtId="0" fontId="4" fillId="31" borderId="16" xfId="0" applyFont="1" applyFill="1" applyBorder="1" applyAlignment="1">
      <alignment vertical="center"/>
    </xf>
    <xf numFmtId="0" fontId="4" fillId="31" borderId="49" xfId="0" applyFont="1" applyFill="1" applyBorder="1" applyAlignment="1">
      <alignment vertical="center"/>
    </xf>
    <xf numFmtId="2" fontId="4" fillId="0" borderId="11" xfId="0" applyNumberFormat="1" applyFont="1" applyFill="1" applyBorder="1" applyAlignment="1">
      <alignment horizontal="center" vertical="center"/>
    </xf>
    <xf numFmtId="167" fontId="4" fillId="31" borderId="28" xfId="0" applyNumberFormat="1" applyFont="1" applyFill="1" applyBorder="1" applyAlignment="1">
      <alignment vertical="center"/>
    </xf>
    <xf numFmtId="2" fontId="4" fillId="0" borderId="17" xfId="0" applyNumberFormat="1" applyFont="1" applyFill="1" applyBorder="1" applyAlignment="1">
      <alignment horizontal="center" vertical="center"/>
    </xf>
    <xf numFmtId="0" fontId="4" fillId="31" borderId="30" xfId="0" applyFont="1" applyFill="1" applyBorder="1" applyAlignment="1">
      <alignment horizontal="center" vertical="center"/>
    </xf>
    <xf numFmtId="0" fontId="4" fillId="31" borderId="21" xfId="0" applyFont="1" applyFill="1" applyBorder="1" applyAlignment="1">
      <alignment vertical="center"/>
    </xf>
    <xf numFmtId="2" fontId="4" fillId="0" borderId="30" xfId="0" applyNumberFormat="1" applyFont="1" applyFill="1" applyBorder="1" applyAlignment="1">
      <alignment horizontal="center" vertical="center"/>
    </xf>
    <xf numFmtId="167" fontId="4" fillId="31" borderId="19" xfId="0" applyNumberFormat="1" applyFont="1" applyFill="1" applyBorder="1" applyAlignment="1">
      <alignment vertical="center"/>
    </xf>
    <xf numFmtId="0" fontId="4" fillId="31" borderId="58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vertical="center"/>
    </xf>
    <xf numFmtId="0" fontId="4" fillId="0" borderId="58" xfId="0" applyFont="1" applyBorder="1" applyAlignment="1">
      <alignment horizontal="center" vertical="center"/>
    </xf>
    <xf numFmtId="169" fontId="4" fillId="30" borderId="41" xfId="0" applyNumberFormat="1" applyFont="1" applyFill="1" applyBorder="1" applyAlignment="1">
      <alignment vertical="center"/>
    </xf>
    <xf numFmtId="0" fontId="4" fillId="25" borderId="60" xfId="0" applyFont="1" applyFill="1" applyBorder="1" applyAlignment="1">
      <alignment vertical="center"/>
    </xf>
    <xf numFmtId="0" fontId="4" fillId="25" borderId="30" xfId="0" applyFont="1" applyFill="1" applyBorder="1" applyAlignment="1">
      <alignment horizontal="center" vertical="center"/>
    </xf>
    <xf numFmtId="3" fontId="4" fillId="25" borderId="19" xfId="0" applyNumberFormat="1" applyFont="1" applyFill="1" applyBorder="1" applyAlignment="1">
      <alignment vertical="center"/>
    </xf>
    <xf numFmtId="2" fontId="4" fillId="31" borderId="30" xfId="0" applyNumberFormat="1" applyFont="1" applyFill="1" applyBorder="1" applyAlignment="1">
      <alignment horizontal="center" vertical="center"/>
    </xf>
    <xf numFmtId="0" fontId="4" fillId="25" borderId="31" xfId="0" applyFont="1" applyFill="1" applyBorder="1" applyAlignment="1">
      <alignment vertical="center"/>
    </xf>
    <xf numFmtId="0" fontId="4" fillId="25" borderId="33" xfId="0" applyFont="1" applyFill="1" applyBorder="1" applyAlignment="1">
      <alignment horizontal="center" vertical="center"/>
    </xf>
    <xf numFmtId="0" fontId="4" fillId="25" borderId="12" xfId="0" applyFont="1" applyFill="1" applyBorder="1" applyAlignment="1">
      <alignment horizontal="center" vertical="center"/>
    </xf>
    <xf numFmtId="0" fontId="3" fillId="25" borderId="77" xfId="0" applyFont="1" applyFill="1" applyBorder="1" applyAlignment="1">
      <alignment vertical="center"/>
    </xf>
    <xf numFmtId="4" fontId="4" fillId="25" borderId="46" xfId="0" applyNumberFormat="1" applyFont="1" applyFill="1" applyBorder="1" applyAlignment="1">
      <alignment horizontal="center" vertical="center"/>
    </xf>
    <xf numFmtId="0" fontId="4" fillId="25" borderId="45" xfId="0" applyFont="1" applyFill="1" applyBorder="1" applyAlignment="1">
      <alignment vertical="center"/>
    </xf>
    <xf numFmtId="2" fontId="4" fillId="25" borderId="12" xfId="0" applyNumberFormat="1" applyFont="1" applyFill="1" applyBorder="1" applyAlignment="1">
      <alignment horizontal="center" vertical="center"/>
    </xf>
    <xf numFmtId="167" fontId="3" fillId="25" borderId="46" xfId="0" applyNumberFormat="1" applyFont="1" applyFill="1" applyBorder="1" applyAlignment="1">
      <alignment vertical="center"/>
    </xf>
    <xf numFmtId="0" fontId="4" fillId="25" borderId="32" xfId="0" applyFont="1" applyFill="1" applyBorder="1" applyAlignment="1">
      <alignment vertical="center"/>
    </xf>
    <xf numFmtId="167" fontId="3" fillId="25" borderId="78" xfId="0" applyNumberFormat="1" applyFont="1" applyFill="1" applyBorder="1" applyAlignment="1">
      <alignment vertical="center"/>
    </xf>
    <xf numFmtId="0" fontId="4" fillId="31" borderId="51" xfId="0" applyFont="1" applyFill="1" applyBorder="1" applyAlignment="1">
      <alignment vertical="center"/>
    </xf>
    <xf numFmtId="167" fontId="4" fillId="31" borderId="50" xfId="0" applyNumberFormat="1" applyFont="1" applyFill="1" applyBorder="1" applyAlignment="1">
      <alignment vertical="center"/>
    </xf>
    <xf numFmtId="0" fontId="4" fillId="25" borderId="21" xfId="0" applyFont="1" applyFill="1" applyBorder="1" applyAlignment="1">
      <alignment vertical="center"/>
    </xf>
    <xf numFmtId="0" fontId="4" fillId="25" borderId="0" xfId="0" applyFont="1" applyFill="1" applyBorder="1" applyAlignment="1">
      <alignment vertical="center"/>
    </xf>
    <xf numFmtId="0" fontId="4" fillId="25" borderId="58" xfId="0" applyFont="1" applyFill="1" applyBorder="1" applyAlignment="1">
      <alignment horizontal="center" vertical="center"/>
    </xf>
    <xf numFmtId="0" fontId="4" fillId="25" borderId="55" xfId="0" applyFont="1" applyFill="1" applyBorder="1" applyAlignment="1">
      <alignment horizontal="center" vertical="center"/>
    </xf>
    <xf numFmtId="0" fontId="4" fillId="25" borderId="75" xfId="0" applyFont="1" applyFill="1" applyBorder="1" applyAlignment="1">
      <alignment horizontal="center" vertical="center"/>
    </xf>
    <xf numFmtId="0" fontId="3" fillId="25" borderId="62" xfId="0" applyFont="1" applyFill="1" applyBorder="1" applyAlignment="1">
      <alignment vertical="center"/>
    </xf>
    <xf numFmtId="4" fontId="4" fillId="25" borderId="74" xfId="0" applyNumberFormat="1" applyFont="1" applyFill="1" applyBorder="1" applyAlignment="1">
      <alignment horizontal="center" vertical="center"/>
    </xf>
    <xf numFmtId="0" fontId="4" fillId="25" borderId="76" xfId="0" applyFont="1" applyFill="1" applyBorder="1" applyAlignment="1">
      <alignment vertical="center"/>
    </xf>
    <xf numFmtId="2" fontId="4" fillId="25" borderId="75" xfId="0" applyNumberFormat="1" applyFont="1" applyFill="1" applyBorder="1" applyAlignment="1">
      <alignment horizontal="center" vertical="center"/>
    </xf>
    <xf numFmtId="167" fontId="3" fillId="25" borderId="74" xfId="0" applyNumberFormat="1" applyFont="1" applyFill="1" applyBorder="1" applyAlignment="1">
      <alignment vertical="center"/>
    </xf>
    <xf numFmtId="0" fontId="4" fillId="25" borderId="80" xfId="0" applyFont="1" applyFill="1" applyBorder="1" applyAlignment="1">
      <alignment vertical="center"/>
    </xf>
    <xf numFmtId="0" fontId="4" fillId="31" borderId="11" xfId="0" applyFont="1" applyFill="1" applyBorder="1" applyAlignment="1">
      <alignment horizontal="center" vertical="center"/>
    </xf>
    <xf numFmtId="0" fontId="4" fillId="31" borderId="34" xfId="0" applyFont="1" applyFill="1" applyBorder="1" applyAlignment="1">
      <alignment horizontal="center" vertical="center"/>
    </xf>
    <xf numFmtId="0" fontId="4" fillId="31" borderId="0" xfId="0" applyFont="1" applyFill="1" applyBorder="1" applyAlignment="1">
      <alignment vertical="center"/>
    </xf>
    <xf numFmtId="0" fontId="4" fillId="28" borderId="30" xfId="0" applyFont="1" applyFill="1" applyBorder="1" applyAlignment="1">
      <alignment horizontal="center" vertical="center"/>
    </xf>
    <xf numFmtId="0" fontId="4" fillId="28" borderId="16" xfId="0" applyFont="1" applyFill="1" applyBorder="1" applyAlignment="1">
      <alignment vertical="center"/>
    </xf>
    <xf numFmtId="0" fontId="4" fillId="28" borderId="11" xfId="0" applyFont="1" applyFill="1" applyBorder="1" applyAlignment="1">
      <alignment horizontal="center" vertical="center"/>
    </xf>
    <xf numFmtId="2" fontId="4" fillId="0" borderId="63" xfId="0" applyNumberFormat="1" applyFont="1" applyFill="1" applyBorder="1" applyAlignment="1">
      <alignment horizontal="center" vertical="center"/>
    </xf>
    <xf numFmtId="167" fontId="4" fillId="28" borderId="28" xfId="0" applyNumberFormat="1" applyFont="1" applyFill="1" applyBorder="1" applyAlignment="1">
      <alignment vertical="center"/>
    </xf>
    <xf numFmtId="0" fontId="4" fillId="28" borderId="17" xfId="0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167" fontId="4" fillId="28" borderId="50" xfId="0" applyNumberFormat="1" applyFont="1" applyFill="1" applyBorder="1" applyAlignment="1">
      <alignment vertical="center"/>
    </xf>
    <xf numFmtId="0" fontId="4" fillId="28" borderId="21" xfId="0" applyFont="1" applyFill="1" applyBorder="1" applyAlignment="1">
      <alignment vertical="center"/>
    </xf>
    <xf numFmtId="0" fontId="4" fillId="0" borderId="58" xfId="0" applyFont="1" applyFill="1" applyBorder="1" applyAlignment="1">
      <alignment horizontal="center" vertical="center"/>
    </xf>
    <xf numFmtId="2" fontId="4" fillId="0" borderId="21" xfId="0" applyNumberFormat="1" applyFont="1" applyFill="1" applyBorder="1" applyAlignment="1">
      <alignment horizontal="center" vertical="center"/>
    </xf>
    <xf numFmtId="167" fontId="4" fillId="28" borderId="19" xfId="0" applyNumberFormat="1" applyFont="1" applyFill="1" applyBorder="1" applyAlignment="1">
      <alignment vertical="center"/>
    </xf>
    <xf numFmtId="2" fontId="4" fillId="28" borderId="30" xfId="0" applyNumberFormat="1" applyFont="1" applyFill="1" applyBorder="1" applyAlignment="1">
      <alignment horizontal="center" vertical="center"/>
    </xf>
    <xf numFmtId="0" fontId="4" fillId="28" borderId="57" xfId="0" applyFont="1" applyFill="1" applyBorder="1" applyAlignment="1">
      <alignment vertical="center"/>
    </xf>
    <xf numFmtId="2" fontId="4" fillId="28" borderId="58" xfId="0" applyNumberFormat="1" applyFont="1" applyFill="1" applyBorder="1" applyAlignment="1">
      <alignment horizontal="center" vertical="center"/>
    </xf>
    <xf numFmtId="16" fontId="4" fillId="28" borderId="11" xfId="0" applyNumberFormat="1" applyFont="1" applyFill="1" applyBorder="1" applyAlignment="1">
      <alignment horizontal="center" vertical="center"/>
    </xf>
    <xf numFmtId="0" fontId="4" fillId="28" borderId="63" xfId="0" applyFont="1" applyFill="1" applyBorder="1" applyAlignment="1">
      <alignment vertical="center"/>
    </xf>
    <xf numFmtId="0" fontId="4" fillId="28" borderId="58" xfId="0" applyFont="1" applyFill="1" applyBorder="1" applyAlignment="1">
      <alignment horizontal="center" vertical="center"/>
    </xf>
    <xf numFmtId="0" fontId="4" fillId="28" borderId="31" xfId="0" applyFont="1" applyFill="1" applyBorder="1" applyAlignment="1">
      <alignment vertical="center"/>
    </xf>
    <xf numFmtId="0" fontId="4" fillId="28" borderId="34" xfId="0" applyFont="1" applyFill="1" applyBorder="1" applyAlignment="1">
      <alignment horizontal="center" vertical="center"/>
    </xf>
    <xf numFmtId="0" fontId="4" fillId="28" borderId="0" xfId="0" applyFont="1" applyFill="1" applyBorder="1" applyAlignment="1">
      <alignment vertical="center"/>
    </xf>
    <xf numFmtId="0" fontId="4" fillId="25" borderId="30" xfId="0" applyFont="1" applyFill="1" applyBorder="1" applyAlignment="1">
      <alignment vertical="center"/>
    </xf>
    <xf numFmtId="0" fontId="4" fillId="28" borderId="37" xfId="0" applyFont="1" applyFill="1" applyBorder="1" applyAlignment="1">
      <alignment vertical="center"/>
    </xf>
    <xf numFmtId="0" fontId="4" fillId="28" borderId="10" xfId="0" applyFont="1" applyFill="1" applyBorder="1" applyAlignment="1">
      <alignment vertical="center"/>
    </xf>
    <xf numFmtId="0" fontId="4" fillId="28" borderId="30" xfId="0" applyFont="1" applyFill="1" applyBorder="1" applyAlignment="1">
      <alignment vertical="center"/>
    </xf>
    <xf numFmtId="0" fontId="4" fillId="29" borderId="70" xfId="0" applyFont="1" applyFill="1" applyBorder="1" applyAlignment="1">
      <alignment vertical="center"/>
    </xf>
    <xf numFmtId="0" fontId="4" fillId="29" borderId="23" xfId="0" applyFont="1" applyFill="1" applyBorder="1" applyAlignment="1">
      <alignment horizontal="center" vertical="center"/>
    </xf>
    <xf numFmtId="0" fontId="4" fillId="29" borderId="67" xfId="0" applyFont="1" applyFill="1" applyBorder="1" applyAlignment="1">
      <alignment horizontal="center" vertical="center"/>
    </xf>
    <xf numFmtId="0" fontId="4" fillId="24" borderId="51" xfId="0" applyFont="1" applyFill="1" applyBorder="1" applyAlignment="1">
      <alignment vertical="center"/>
    </xf>
    <xf numFmtId="167" fontId="4" fillId="24" borderId="50" xfId="0" applyNumberFormat="1" applyFont="1" applyFill="1" applyBorder="1" applyAlignment="1">
      <alignment vertical="center"/>
    </xf>
    <xf numFmtId="0" fontId="4" fillId="24" borderId="38" xfId="0" applyFont="1" applyFill="1" applyBorder="1" applyAlignment="1">
      <alignment vertical="center"/>
    </xf>
    <xf numFmtId="167" fontId="4" fillId="24" borderId="52" xfId="0" applyNumberFormat="1" applyFont="1" applyFill="1" applyBorder="1" applyAlignment="1">
      <alignment vertical="center"/>
    </xf>
    <xf numFmtId="0" fontId="4" fillId="24" borderId="18" xfId="0" applyFont="1" applyFill="1" applyBorder="1" applyAlignment="1">
      <alignment vertical="center"/>
    </xf>
    <xf numFmtId="167" fontId="4" fillId="24" borderId="19" xfId="0" applyNumberFormat="1" applyFont="1" applyFill="1" applyBorder="1" applyAlignment="1">
      <alignment vertical="center"/>
    </xf>
    <xf numFmtId="0" fontId="4" fillId="24" borderId="29" xfId="0" applyFont="1" applyFill="1" applyBorder="1" applyAlignment="1">
      <alignment vertical="center"/>
    </xf>
    <xf numFmtId="167" fontId="4" fillId="24" borderId="22" xfId="0" applyNumberFormat="1" applyFont="1" applyFill="1" applyBorder="1" applyAlignment="1">
      <alignment vertical="center"/>
    </xf>
    <xf numFmtId="2" fontId="4" fillId="24" borderId="30" xfId="0" applyNumberFormat="1" applyFont="1" applyFill="1" applyBorder="1" applyAlignment="1">
      <alignment horizontal="center" vertical="center"/>
    </xf>
    <xf numFmtId="0" fontId="4" fillId="24" borderId="30" xfId="0" applyFont="1" applyFill="1" applyBorder="1" applyAlignment="1">
      <alignment horizontal="left" vertical="center"/>
    </xf>
    <xf numFmtId="0" fontId="4" fillId="24" borderId="58" xfId="0" applyFont="1" applyFill="1" applyBorder="1" applyAlignment="1">
      <alignment horizontal="left" vertical="center"/>
    </xf>
    <xf numFmtId="2" fontId="4" fillId="0" borderId="58" xfId="0" applyNumberFormat="1" applyFont="1" applyFill="1" applyBorder="1" applyAlignment="1">
      <alignment horizontal="center" vertical="center"/>
    </xf>
    <xf numFmtId="0" fontId="4" fillId="24" borderId="59" xfId="0" applyFont="1" applyFill="1" applyBorder="1" applyAlignment="1">
      <alignment vertical="center"/>
    </xf>
    <xf numFmtId="2" fontId="4" fillId="24" borderId="58" xfId="0" applyNumberFormat="1" applyFont="1" applyFill="1" applyBorder="1" applyAlignment="1">
      <alignment horizontal="center" vertical="center"/>
    </xf>
    <xf numFmtId="0" fontId="4" fillId="29" borderId="66" xfId="0" applyFont="1" applyFill="1" applyBorder="1" applyAlignment="1">
      <alignment horizontal="left" vertical="center"/>
    </xf>
    <xf numFmtId="0" fontId="4" fillId="29" borderId="66" xfId="0" applyFont="1" applyFill="1" applyBorder="1" applyAlignment="1">
      <alignment vertical="center"/>
    </xf>
    <xf numFmtId="0" fontId="3" fillId="25" borderId="75" xfId="0" applyFont="1" applyFill="1" applyBorder="1" applyAlignment="1">
      <alignment vertical="center"/>
    </xf>
    <xf numFmtId="0" fontId="3" fillId="25" borderId="75" xfId="0" applyFont="1" applyFill="1" applyBorder="1" applyAlignment="1">
      <alignment horizontal="center" vertical="center"/>
    </xf>
    <xf numFmtId="167" fontId="3" fillId="25" borderId="73" xfId="0" applyNumberFormat="1" applyFont="1" applyFill="1" applyBorder="1" applyAlignment="1">
      <alignment vertical="center"/>
    </xf>
    <xf numFmtId="167" fontId="3" fillId="25" borderId="69" xfId="0" applyNumberFormat="1" applyFont="1" applyFill="1" applyBorder="1" applyAlignment="1">
      <alignment vertical="center"/>
    </xf>
    <xf numFmtId="0" fontId="2" fillId="24" borderId="11" xfId="0" applyFont="1" applyFill="1" applyBorder="1" applyAlignment="1">
      <alignment horizontal="center" vertical="center"/>
    </xf>
    <xf numFmtId="0" fontId="2" fillId="24" borderId="11" xfId="0" applyFont="1" applyFill="1" applyBorder="1" applyAlignment="1">
      <alignment horizontal="left" vertical="center"/>
    </xf>
    <xf numFmtId="0" fontId="3" fillId="24" borderId="50" xfId="0" applyFont="1" applyFill="1" applyBorder="1" applyAlignment="1">
      <alignment horizontal="center" vertical="center"/>
    </xf>
    <xf numFmtId="0" fontId="4" fillId="24" borderId="75" xfId="0" applyFont="1" applyFill="1" applyBorder="1" applyAlignment="1">
      <alignment horizontal="left" vertical="center"/>
    </xf>
    <xf numFmtId="0" fontId="3" fillId="24" borderId="74" xfId="0" applyFont="1" applyFill="1" applyBorder="1" applyAlignment="1">
      <alignment horizontal="center" vertical="center"/>
    </xf>
    <xf numFmtId="167" fontId="4" fillId="29" borderId="78" xfId="0" applyNumberFormat="1" applyFont="1" applyFill="1" applyBorder="1" applyAlignment="1">
      <alignment vertical="center"/>
    </xf>
    <xf numFmtId="167" fontId="4" fillId="29" borderId="82" xfId="0" applyNumberFormat="1" applyFont="1" applyFill="1" applyBorder="1" applyAlignment="1">
      <alignment horizontal="right" vertical="center"/>
    </xf>
    <xf numFmtId="0" fontId="4" fillId="0" borderId="62" xfId="0" applyFont="1" applyFill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24" borderId="0" xfId="0" applyFont="1" applyFill="1" applyBorder="1"/>
    <xf numFmtId="0" fontId="4" fillId="24" borderId="75" xfId="0" applyFont="1" applyFill="1" applyBorder="1" applyAlignment="1"/>
    <xf numFmtId="0" fontId="4" fillId="24" borderId="66" xfId="0" applyFont="1" applyFill="1" applyBorder="1" applyAlignment="1">
      <alignment horizontal="center"/>
    </xf>
    <xf numFmtId="0" fontId="4" fillId="0" borderId="0" xfId="0" applyFont="1" applyFill="1" applyBorder="1"/>
    <xf numFmtId="167" fontId="4" fillId="24" borderId="0" xfId="0" applyNumberFormat="1" applyFont="1" applyFill="1" applyBorder="1" applyAlignment="1">
      <alignment vertical="center"/>
    </xf>
    <xf numFmtId="2" fontId="3" fillId="25" borderId="66" xfId="0" applyNumberFormat="1" applyFont="1" applyFill="1" applyBorder="1" applyAlignment="1">
      <alignment horizontal="center" vertical="center"/>
    </xf>
    <xf numFmtId="0" fontId="4" fillId="28" borderId="34" xfId="0" applyFont="1" applyFill="1" applyBorder="1" applyAlignment="1">
      <alignment horizontal="center" vertical="center"/>
    </xf>
    <xf numFmtId="0" fontId="4" fillId="28" borderId="58" xfId="0" applyFont="1" applyFill="1" applyBorder="1" applyAlignment="1">
      <alignment horizontal="center" vertical="center"/>
    </xf>
    <xf numFmtId="0" fontId="4" fillId="28" borderId="71" xfId="0" applyFont="1" applyFill="1" applyBorder="1" applyAlignment="1">
      <alignment horizontal="center" vertical="center"/>
    </xf>
    <xf numFmtId="167" fontId="4" fillId="27" borderId="50" xfId="0" applyNumberFormat="1" applyFont="1" applyFill="1" applyBorder="1" applyAlignment="1">
      <alignment vertical="center"/>
    </xf>
    <xf numFmtId="167" fontId="4" fillId="27" borderId="19" xfId="0" applyNumberFormat="1" applyFont="1" applyFill="1" applyBorder="1" applyAlignment="1">
      <alignment vertical="center"/>
    </xf>
    <xf numFmtId="167" fontId="4" fillId="27" borderId="41" xfId="0" applyNumberFormat="1" applyFont="1" applyFill="1" applyBorder="1" applyAlignment="1">
      <alignment vertical="center"/>
    </xf>
    <xf numFmtId="167" fontId="4" fillId="27" borderId="47" xfId="0" applyNumberFormat="1" applyFont="1" applyFill="1" applyBorder="1" applyAlignment="1">
      <alignment vertical="center"/>
    </xf>
    <xf numFmtId="167" fontId="4" fillId="27" borderId="28" xfId="0" applyNumberFormat="1" applyFont="1" applyFill="1" applyBorder="1" applyAlignment="1">
      <alignment vertical="center"/>
    </xf>
    <xf numFmtId="0" fontId="4" fillId="24" borderId="11" xfId="0" applyFont="1" applyFill="1" applyBorder="1"/>
    <xf numFmtId="3" fontId="4" fillId="25" borderId="41" xfId="0" applyNumberFormat="1" applyFont="1" applyFill="1" applyBorder="1" applyAlignment="1">
      <alignment vertical="center"/>
    </xf>
    <xf numFmtId="4" fontId="4" fillId="32" borderId="41" xfId="0" applyNumberFormat="1" applyFont="1" applyFill="1" applyBorder="1" applyAlignment="1">
      <alignment horizontal="center" vertical="center"/>
    </xf>
    <xf numFmtId="4" fontId="4" fillId="27" borderId="41" xfId="0" applyNumberFormat="1" applyFont="1" applyFill="1" applyBorder="1" applyAlignment="1">
      <alignment horizontal="center" vertical="center"/>
    </xf>
    <xf numFmtId="0" fontId="4" fillId="29" borderId="73" xfId="0" applyFont="1" applyFill="1" applyBorder="1" applyAlignment="1">
      <alignment vertical="center"/>
    </xf>
    <xf numFmtId="0" fontId="4" fillId="24" borderId="14" xfId="0" applyFont="1" applyFill="1" applyBorder="1" applyAlignment="1">
      <alignment vertical="center"/>
    </xf>
    <xf numFmtId="0" fontId="0" fillId="24" borderId="14" xfId="0" applyFill="1" applyBorder="1" applyAlignment="1">
      <alignment vertical="center"/>
    </xf>
    <xf numFmtId="0" fontId="4" fillId="24" borderId="44" xfId="0" applyFont="1" applyFill="1" applyBorder="1" applyAlignment="1">
      <alignment vertical="center"/>
    </xf>
    <xf numFmtId="0" fontId="4" fillId="31" borderId="11" xfId="0" applyFont="1" applyFill="1" applyBorder="1" applyAlignment="1">
      <alignment vertical="center"/>
    </xf>
    <xf numFmtId="0" fontId="4" fillId="31" borderId="28" xfId="0" applyFont="1" applyFill="1" applyBorder="1" applyAlignment="1">
      <alignment horizontal="center"/>
    </xf>
    <xf numFmtId="0" fontId="4" fillId="0" borderId="40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4" fillId="0" borderId="44" xfId="0" applyFont="1" applyFill="1" applyBorder="1" applyAlignment="1">
      <alignment vertical="center"/>
    </xf>
    <xf numFmtId="4" fontId="4" fillId="32" borderId="28" xfId="0" applyNumberFormat="1" applyFont="1" applyFill="1" applyBorder="1" applyAlignment="1">
      <alignment vertical="center"/>
    </xf>
    <xf numFmtId="4" fontId="4" fillId="32" borderId="41" xfId="0" applyNumberFormat="1" applyFont="1" applyFill="1" applyBorder="1" applyAlignment="1">
      <alignment vertical="center"/>
    </xf>
    <xf numFmtId="0" fontId="4" fillId="28" borderId="17" xfId="0" applyFont="1" applyFill="1" applyBorder="1" applyAlignment="1">
      <alignment horizontal="center" vertical="center"/>
    </xf>
    <xf numFmtId="167" fontId="4" fillId="30" borderId="41" xfId="0" applyNumberFormat="1" applyFont="1" applyFill="1" applyBorder="1" applyAlignment="1">
      <alignment vertical="center"/>
    </xf>
    <xf numFmtId="167" fontId="4" fillId="25" borderId="19" xfId="0" applyNumberFormat="1" applyFont="1" applyFill="1" applyBorder="1" applyAlignment="1">
      <alignment vertical="center"/>
    </xf>
    <xf numFmtId="167" fontId="4" fillId="25" borderId="46" xfId="0" applyNumberFormat="1" applyFont="1" applyFill="1" applyBorder="1" applyAlignment="1">
      <alignment horizontal="center" vertical="center"/>
    </xf>
    <xf numFmtId="167" fontId="4" fillId="25" borderId="74" xfId="0" applyNumberFormat="1" applyFont="1" applyFill="1" applyBorder="1" applyAlignment="1">
      <alignment horizontal="center" vertical="center"/>
    </xf>
    <xf numFmtId="0" fontId="27" fillId="0" borderId="54" xfId="0" applyFont="1" applyFill="1" applyBorder="1" applyAlignment="1">
      <alignment vertical="center" wrapText="1"/>
    </xf>
    <xf numFmtId="166" fontId="4" fillId="0" borderId="19" xfId="0" applyNumberFormat="1" applyFont="1" applyFill="1" applyBorder="1" applyAlignment="1">
      <alignment horizontal="center" vertical="center"/>
    </xf>
    <xf numFmtId="166" fontId="4" fillId="0" borderId="46" xfId="0" applyNumberFormat="1" applyFont="1" applyBorder="1" applyAlignment="1">
      <alignment horizontal="center" vertical="center"/>
    </xf>
    <xf numFmtId="0" fontId="4" fillId="0" borderId="50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25" borderId="83" xfId="0" applyFont="1" applyFill="1" applyBorder="1" applyAlignment="1">
      <alignment horizontal="center" vertical="center"/>
    </xf>
    <xf numFmtId="0" fontId="4" fillId="31" borderId="37" xfId="0" applyFont="1" applyFill="1" applyBorder="1" applyAlignment="1">
      <alignment vertical="center"/>
    </xf>
    <xf numFmtId="166" fontId="4" fillId="25" borderId="61" xfId="0" applyNumberFormat="1" applyFont="1" applyFill="1" applyBorder="1" applyAlignment="1">
      <alignment horizontal="center" vertical="center"/>
    </xf>
    <xf numFmtId="166" fontId="4" fillId="25" borderId="66" xfId="0" applyNumberFormat="1" applyFont="1" applyFill="1" applyBorder="1" applyAlignment="1">
      <alignment horizontal="center" vertical="center"/>
    </xf>
    <xf numFmtId="166" fontId="4" fillId="25" borderId="73" xfId="0" applyNumberFormat="1" applyFont="1" applyFill="1" applyBorder="1" applyAlignment="1">
      <alignment horizontal="center" vertical="center"/>
    </xf>
    <xf numFmtId="14" fontId="0" fillId="0" borderId="0" xfId="0" applyNumberFormat="1"/>
    <xf numFmtId="0" fontId="0" fillId="0" borderId="18" xfId="0" applyBorder="1"/>
    <xf numFmtId="0" fontId="0" fillId="0" borderId="30" xfId="0" applyBorder="1"/>
    <xf numFmtId="0" fontId="0" fillId="0" borderId="19" xfId="0" applyBorder="1"/>
    <xf numFmtId="0" fontId="0" fillId="0" borderId="45" xfId="0" applyBorder="1"/>
    <xf numFmtId="0" fontId="0" fillId="0" borderId="12" xfId="0" applyBorder="1"/>
    <xf numFmtId="0" fontId="0" fillId="0" borderId="46" xfId="0" applyBorder="1"/>
    <xf numFmtId="0" fontId="0" fillId="0" borderId="17" xfId="0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45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43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/>
    <xf numFmtId="0" fontId="0" fillId="0" borderId="45" xfId="0" applyFont="1" applyFill="1" applyBorder="1" applyAlignment="1">
      <alignment horizontal="center" vertical="center"/>
    </xf>
    <xf numFmtId="166" fontId="4" fillId="0" borderId="33" xfId="0" applyNumberFormat="1" applyFont="1" applyFill="1" applyBorder="1" applyAlignment="1">
      <alignment horizontal="center" vertical="center"/>
    </xf>
    <xf numFmtId="1" fontId="4" fillId="35" borderId="30" xfId="0" applyNumberFormat="1" applyFont="1" applyFill="1" applyBorder="1" applyAlignment="1">
      <alignment horizontal="center" vertical="center"/>
    </xf>
    <xf numFmtId="1" fontId="4" fillId="24" borderId="17" xfId="0" applyNumberFormat="1" applyFont="1" applyFill="1" applyBorder="1" applyAlignment="1">
      <alignment horizontal="right" vertical="center"/>
    </xf>
    <xf numFmtId="0" fontId="4" fillId="35" borderId="53" xfId="0" applyFont="1" applyFill="1" applyBorder="1" applyAlignment="1">
      <alignment horizontal="right" vertical="center"/>
    </xf>
    <xf numFmtId="2" fontId="4" fillId="0" borderId="30" xfId="0" applyNumberFormat="1" applyFont="1" applyFill="1" applyBorder="1" applyAlignment="1">
      <alignment horizontal="center" vertical="center"/>
    </xf>
    <xf numFmtId="166" fontId="4" fillId="0" borderId="18" xfId="0" applyNumberFormat="1" applyFont="1" applyFill="1" applyBorder="1" applyAlignment="1">
      <alignment vertical="center"/>
    </xf>
    <xf numFmtId="1" fontId="4" fillId="35" borderId="29" xfId="0" applyNumberFormat="1" applyFont="1" applyFill="1" applyBorder="1" applyAlignment="1">
      <alignment horizontal="center" vertical="center"/>
    </xf>
    <xf numFmtId="0" fontId="26" fillId="24" borderId="70" xfId="0" applyFont="1" applyFill="1" applyBorder="1" applyAlignment="1">
      <alignment horizontal="right" vertical="center" indent="1"/>
    </xf>
    <xf numFmtId="0" fontId="26" fillId="24" borderId="23" xfId="0" applyFont="1" applyFill="1" applyBorder="1" applyAlignment="1">
      <alignment horizontal="right" vertical="center" indent="1"/>
    </xf>
    <xf numFmtId="0" fontId="26" fillId="24" borderId="82" xfId="0" applyFont="1" applyFill="1" applyBorder="1" applyAlignment="1">
      <alignment horizontal="right" vertical="center" indent="1"/>
    </xf>
    <xf numFmtId="166" fontId="4" fillId="25" borderId="87" xfId="0" applyNumberFormat="1" applyFont="1" applyFill="1" applyBorder="1" applyAlignment="1">
      <alignment horizontal="center" vertical="center"/>
    </xf>
    <xf numFmtId="166" fontId="4" fillId="25" borderId="60" xfId="0" applyNumberFormat="1" applyFont="1" applyFill="1" applyBorder="1" applyAlignment="1">
      <alignment horizontal="center" vertical="center"/>
    </xf>
    <xf numFmtId="2" fontId="3" fillId="0" borderId="71" xfId="0" applyNumberFormat="1" applyFont="1" applyFill="1" applyBorder="1" applyAlignment="1">
      <alignment horizontal="center" vertical="center"/>
    </xf>
    <xf numFmtId="2" fontId="3" fillId="0" borderId="34" xfId="0" applyNumberFormat="1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center" vertical="center"/>
    </xf>
    <xf numFmtId="2" fontId="4" fillId="0" borderId="71" xfId="0" applyNumberFormat="1" applyFont="1" applyFill="1" applyBorder="1" applyAlignment="1">
      <alignment horizontal="center" vertical="center"/>
    </xf>
    <xf numFmtId="2" fontId="4" fillId="0" borderId="34" xfId="0" applyNumberFormat="1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2" fontId="4" fillId="0" borderId="48" xfId="0" applyNumberFormat="1" applyFont="1" applyFill="1" applyBorder="1" applyAlignment="1">
      <alignment horizontal="center" vertical="center"/>
    </xf>
    <xf numFmtId="2" fontId="4" fillId="0" borderId="26" xfId="0" applyNumberFormat="1" applyFont="1" applyFill="1" applyBorder="1" applyAlignment="1">
      <alignment horizontal="center" vertical="center"/>
    </xf>
    <xf numFmtId="2" fontId="4" fillId="0" borderId="51" xfId="0" applyNumberFormat="1" applyFont="1" applyFill="1" applyBorder="1" applyAlignment="1">
      <alignment horizontal="center" vertical="center"/>
    </xf>
    <xf numFmtId="2" fontId="4" fillId="0" borderId="30" xfId="0" applyNumberFormat="1" applyFont="1" applyFill="1" applyBorder="1" applyAlignment="1">
      <alignment horizontal="center" vertical="center"/>
    </xf>
    <xf numFmtId="0" fontId="4" fillId="31" borderId="26" xfId="0" applyFont="1" applyFill="1" applyBorder="1" applyAlignment="1">
      <alignment horizontal="left" vertical="center" wrapText="1"/>
    </xf>
    <xf numFmtId="0" fontId="4" fillId="31" borderId="76" xfId="0" applyFont="1" applyFill="1" applyBorder="1" applyAlignment="1">
      <alignment horizontal="left" vertical="center" wrapText="1"/>
    </xf>
    <xf numFmtId="0" fontId="4" fillId="31" borderId="48" xfId="0" applyFont="1" applyFill="1" applyBorder="1" applyAlignment="1">
      <alignment horizontal="left" vertical="center" wrapText="1"/>
    </xf>
    <xf numFmtId="0" fontId="4" fillId="25" borderId="48" xfId="0" applyFont="1" applyFill="1" applyBorder="1" applyAlignment="1">
      <alignment horizontal="left" vertical="center" wrapText="1"/>
    </xf>
    <xf numFmtId="0" fontId="4" fillId="25" borderId="26" xfId="0" applyFont="1" applyFill="1" applyBorder="1" applyAlignment="1">
      <alignment horizontal="left" vertical="center" wrapText="1"/>
    </xf>
    <xf numFmtId="0" fontId="4" fillId="25" borderId="76" xfId="0" applyFont="1" applyFill="1" applyBorder="1" applyAlignment="1">
      <alignment horizontal="left" vertical="center" wrapText="1"/>
    </xf>
    <xf numFmtId="0" fontId="4" fillId="28" borderId="48" xfId="0" applyFont="1" applyFill="1" applyBorder="1" applyAlignment="1">
      <alignment horizontal="left" vertical="center"/>
    </xf>
    <xf numFmtId="0" fontId="4" fillId="28" borderId="26" xfId="0" applyFont="1" applyFill="1" applyBorder="1" applyAlignment="1">
      <alignment horizontal="left" vertical="center"/>
    </xf>
    <xf numFmtId="0" fontId="4" fillId="28" borderId="76" xfId="0" applyFont="1" applyFill="1" applyBorder="1" applyAlignment="1">
      <alignment horizontal="left" vertical="center"/>
    </xf>
    <xf numFmtId="0" fontId="4" fillId="28" borderId="48" xfId="0" applyFont="1" applyFill="1" applyBorder="1" applyAlignment="1">
      <alignment horizontal="left" vertical="center" wrapText="1"/>
    </xf>
    <xf numFmtId="0" fontId="4" fillId="28" borderId="26" xfId="0" applyFont="1" applyFill="1" applyBorder="1" applyAlignment="1">
      <alignment horizontal="left" vertical="center" wrapText="1"/>
    </xf>
    <xf numFmtId="0" fontId="4" fillId="28" borderId="76" xfId="0" applyFont="1" applyFill="1" applyBorder="1" applyAlignment="1">
      <alignment horizontal="left" vertical="center" wrapText="1"/>
    </xf>
    <xf numFmtId="0" fontId="4" fillId="28" borderId="56" xfId="0" applyFont="1" applyFill="1" applyBorder="1" applyAlignment="1">
      <alignment horizontal="center" vertical="center"/>
    </xf>
    <xf numFmtId="0" fontId="4" fillId="28" borderId="35" xfId="0" applyFont="1" applyFill="1" applyBorder="1" applyAlignment="1">
      <alignment horizontal="center" vertical="center"/>
    </xf>
    <xf numFmtId="0" fontId="4" fillId="28" borderId="72" xfId="0" applyFont="1" applyFill="1" applyBorder="1" applyAlignment="1">
      <alignment horizontal="center" vertical="center"/>
    </xf>
    <xf numFmtId="0" fontId="4" fillId="28" borderId="39" xfId="0" applyFont="1" applyFill="1" applyBorder="1" applyAlignment="1">
      <alignment horizontal="center" vertical="center"/>
    </xf>
    <xf numFmtId="0" fontId="4" fillId="28" borderId="56" xfId="0" applyFont="1" applyFill="1" applyBorder="1" applyAlignment="1">
      <alignment horizontal="center" vertical="center" wrapText="1"/>
    </xf>
    <xf numFmtId="0" fontId="4" fillId="28" borderId="35" xfId="0" applyFont="1" applyFill="1" applyBorder="1" applyAlignment="1">
      <alignment horizontal="center" vertical="center" wrapText="1"/>
    </xf>
    <xf numFmtId="0" fontId="4" fillId="28" borderId="39" xfId="0" applyFont="1" applyFill="1" applyBorder="1" applyAlignment="1">
      <alignment horizontal="center" vertical="center" wrapText="1"/>
    </xf>
    <xf numFmtId="0" fontId="3" fillId="24" borderId="76" xfId="0" applyFont="1" applyFill="1" applyBorder="1" applyAlignment="1">
      <alignment horizontal="left" vertical="center"/>
    </xf>
    <xf numFmtId="0" fontId="3" fillId="24" borderId="75" xfId="0" applyFont="1" applyFill="1" applyBorder="1" applyAlignment="1">
      <alignment horizontal="left" vertical="center"/>
    </xf>
    <xf numFmtId="0" fontId="4" fillId="24" borderId="71" xfId="0" applyFont="1" applyFill="1" applyBorder="1" applyAlignment="1">
      <alignment horizontal="center" vertical="center" wrapText="1"/>
    </xf>
    <xf numFmtId="0" fontId="4" fillId="24" borderId="34" xfId="0" applyFont="1" applyFill="1" applyBorder="1" applyAlignment="1">
      <alignment horizontal="center" vertical="center" wrapText="1"/>
    </xf>
    <xf numFmtId="0" fontId="4" fillId="24" borderId="75" xfId="0" applyFont="1" applyFill="1" applyBorder="1" applyAlignment="1">
      <alignment horizontal="center" vertical="center" wrapText="1"/>
    </xf>
    <xf numFmtId="0" fontId="3" fillId="24" borderId="49" xfId="0" applyFont="1" applyFill="1" applyBorder="1" applyAlignment="1">
      <alignment horizontal="left" vertical="center"/>
    </xf>
    <xf numFmtId="0" fontId="3" fillId="24" borderId="11" xfId="0" applyFont="1" applyFill="1" applyBorder="1" applyAlignment="1">
      <alignment horizontal="left" vertical="center"/>
    </xf>
    <xf numFmtId="0" fontId="4" fillId="24" borderId="11" xfId="0" applyFont="1" applyFill="1" applyBorder="1" applyAlignment="1">
      <alignment horizontal="center" vertical="center" wrapText="1"/>
    </xf>
    <xf numFmtId="0" fontId="4" fillId="24" borderId="30" xfId="0" applyFont="1" applyFill="1" applyBorder="1" applyAlignment="1">
      <alignment horizontal="center" vertical="center" wrapText="1"/>
    </xf>
    <xf numFmtId="0" fontId="4" fillId="25" borderId="49" xfId="0" applyFont="1" applyFill="1" applyBorder="1" applyAlignment="1">
      <alignment horizontal="center" vertical="center" wrapText="1"/>
    </xf>
    <xf numFmtId="0" fontId="4" fillId="25" borderId="18" xfId="0" applyFont="1" applyFill="1" applyBorder="1" applyAlignment="1">
      <alignment horizontal="center" vertical="center" wrapText="1"/>
    </xf>
    <xf numFmtId="0" fontId="4" fillId="31" borderId="71" xfId="0" applyFont="1" applyFill="1" applyBorder="1" applyAlignment="1">
      <alignment horizontal="center" vertical="center" wrapText="1"/>
    </xf>
    <xf numFmtId="0" fontId="4" fillId="31" borderId="34" xfId="0" applyFont="1" applyFill="1" applyBorder="1" applyAlignment="1">
      <alignment horizontal="center" vertical="center" wrapText="1"/>
    </xf>
    <xf numFmtId="0" fontId="4" fillId="31" borderId="17" xfId="0" applyFont="1" applyFill="1" applyBorder="1" applyAlignment="1">
      <alignment horizontal="center" vertical="center" wrapText="1"/>
    </xf>
    <xf numFmtId="0" fontId="4" fillId="28" borderId="58" xfId="0" applyFont="1" applyFill="1" applyBorder="1" applyAlignment="1">
      <alignment horizontal="center" vertical="center" wrapText="1"/>
    </xf>
    <xf numFmtId="0" fontId="4" fillId="28" borderId="34" xfId="0" applyFont="1" applyFill="1" applyBorder="1" applyAlignment="1">
      <alignment horizontal="center" vertical="center" wrapText="1"/>
    </xf>
    <xf numFmtId="0" fontId="4" fillId="28" borderId="17" xfId="0" applyFont="1" applyFill="1" applyBorder="1" applyAlignment="1">
      <alignment horizontal="center" vertical="center" wrapText="1"/>
    </xf>
    <xf numFmtId="0" fontId="4" fillId="25" borderId="34" xfId="0" applyFont="1" applyFill="1" applyBorder="1" applyAlignment="1">
      <alignment horizontal="center" vertical="center" wrapText="1"/>
    </xf>
    <xf numFmtId="0" fontId="4" fillId="25" borderId="75" xfId="0" applyFont="1" applyFill="1" applyBorder="1" applyAlignment="1">
      <alignment horizontal="center" vertical="center" wrapText="1"/>
    </xf>
    <xf numFmtId="0" fontId="4" fillId="28" borderId="72" xfId="0" applyFont="1" applyFill="1" applyBorder="1" applyAlignment="1">
      <alignment horizontal="center" vertical="center" wrapText="1"/>
    </xf>
    <xf numFmtId="0" fontId="4" fillId="28" borderId="71" xfId="0" applyFont="1" applyFill="1" applyBorder="1" applyAlignment="1">
      <alignment horizontal="center" vertical="center" wrapText="1"/>
    </xf>
    <xf numFmtId="0" fontId="4" fillId="28" borderId="71" xfId="0" applyFont="1" applyFill="1" applyBorder="1" applyAlignment="1">
      <alignment horizontal="center" vertical="center"/>
    </xf>
    <xf numFmtId="0" fontId="4" fillId="28" borderId="34" xfId="0" applyFont="1" applyFill="1" applyBorder="1" applyAlignment="1">
      <alignment horizontal="center" vertical="center"/>
    </xf>
    <xf numFmtId="0" fontId="4" fillId="28" borderId="17" xfId="0" applyFont="1" applyFill="1" applyBorder="1" applyAlignment="1">
      <alignment horizontal="center" vertical="center"/>
    </xf>
    <xf numFmtId="0" fontId="4" fillId="28" borderId="58" xfId="0" applyFont="1" applyFill="1" applyBorder="1" applyAlignment="1">
      <alignment horizontal="center" vertical="center"/>
    </xf>
    <xf numFmtId="0" fontId="24" fillId="25" borderId="27" xfId="0" applyFont="1" applyFill="1" applyBorder="1" applyAlignment="1">
      <alignment horizontal="center" vertical="center"/>
    </xf>
    <xf numFmtId="0" fontId="24" fillId="25" borderId="40" xfId="0" applyFont="1" applyFill="1" applyBorder="1" applyAlignment="1">
      <alignment horizontal="center" vertical="center"/>
    </xf>
    <xf numFmtId="0" fontId="24" fillId="0" borderId="43" xfId="0" applyFont="1" applyFill="1" applyBorder="1" applyAlignment="1">
      <alignment horizontal="center" vertical="center" wrapText="1" shrinkToFit="1"/>
    </xf>
    <xf numFmtId="0" fontId="24" fillId="0" borderId="44" xfId="0" applyFont="1" applyFill="1" applyBorder="1" applyAlignment="1">
      <alignment horizontal="center" vertical="center" wrapText="1" shrinkToFit="1"/>
    </xf>
    <xf numFmtId="0" fontId="25" fillId="25" borderId="64" xfId="0" applyFont="1" applyFill="1" applyBorder="1" applyAlignment="1">
      <alignment horizontal="center" vertical="center" wrapText="1"/>
    </xf>
    <xf numFmtId="0" fontId="25" fillId="25" borderId="63" xfId="0" applyFont="1" applyFill="1" applyBorder="1" applyAlignment="1">
      <alignment horizontal="center" vertical="center" wrapText="1"/>
    </xf>
    <xf numFmtId="0" fontId="25" fillId="25" borderId="53" xfId="0" applyFont="1" applyFill="1" applyBorder="1" applyAlignment="1">
      <alignment horizontal="center" vertical="center" wrapText="1"/>
    </xf>
    <xf numFmtId="0" fontId="4" fillId="31" borderId="56" xfId="0" applyFont="1" applyFill="1" applyBorder="1" applyAlignment="1">
      <alignment horizontal="center" vertical="center"/>
    </xf>
    <xf numFmtId="0" fontId="4" fillId="31" borderId="35" xfId="0" applyFont="1" applyFill="1" applyBorder="1" applyAlignment="1">
      <alignment horizontal="center" vertical="center"/>
    </xf>
    <xf numFmtId="0" fontId="4" fillId="31" borderId="35" xfId="0" applyFont="1" applyFill="1" applyBorder="1" applyAlignment="1">
      <alignment horizontal="center" vertical="center" wrapText="1"/>
    </xf>
    <xf numFmtId="0" fontId="4" fillId="31" borderId="39" xfId="0" applyFont="1" applyFill="1" applyBorder="1" applyAlignment="1">
      <alignment horizontal="center" vertical="center" wrapText="1"/>
    </xf>
    <xf numFmtId="0" fontId="4" fillId="31" borderId="39" xfId="0" applyFont="1" applyFill="1" applyBorder="1" applyAlignment="1">
      <alignment horizontal="center" vertical="center"/>
    </xf>
    <xf numFmtId="0" fontId="4" fillId="31" borderId="58" xfId="0" applyFont="1" applyFill="1" applyBorder="1" applyAlignment="1">
      <alignment horizontal="center" vertical="center" wrapText="1"/>
    </xf>
    <xf numFmtId="0" fontId="4" fillId="31" borderId="60" xfId="0" applyFont="1" applyFill="1" applyBorder="1" applyAlignment="1">
      <alignment horizontal="center" vertical="center"/>
    </xf>
    <xf numFmtId="0" fontId="4" fillId="31" borderId="0" xfId="0" applyFont="1" applyFill="1" applyBorder="1" applyAlignment="1">
      <alignment horizontal="center" vertical="center"/>
    </xf>
    <xf numFmtId="0" fontId="4" fillId="31" borderId="0" xfId="0" applyFont="1" applyFill="1" applyBorder="1" applyAlignment="1">
      <alignment horizontal="center" vertical="center" wrapText="1"/>
    </xf>
    <xf numFmtId="0" fontId="4" fillId="31" borderId="16" xfId="0" applyFont="1" applyFill="1" applyBorder="1" applyAlignment="1">
      <alignment horizontal="center" vertical="center" wrapText="1"/>
    </xf>
    <xf numFmtId="0" fontId="4" fillId="31" borderId="60" xfId="0" applyFont="1" applyFill="1" applyBorder="1" applyAlignment="1">
      <alignment horizontal="center" vertical="center" wrapText="1"/>
    </xf>
    <xf numFmtId="0" fontId="4" fillId="31" borderId="16" xfId="0" applyFont="1" applyFill="1" applyBorder="1" applyAlignment="1">
      <alignment horizontal="center" vertical="center"/>
    </xf>
    <xf numFmtId="0" fontId="26" fillId="25" borderId="64" xfId="0" applyFont="1" applyFill="1" applyBorder="1" applyAlignment="1">
      <alignment horizontal="center" vertical="center" wrapText="1"/>
    </xf>
    <xf numFmtId="0" fontId="26" fillId="25" borderId="63" xfId="0" applyFont="1" applyFill="1" applyBorder="1" applyAlignment="1">
      <alignment horizontal="center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28" fillId="0" borderId="21" xfId="0" applyFont="1" applyFill="1" applyBorder="1" applyAlignment="1">
      <alignment horizontal="center" vertical="center" wrapText="1"/>
    </xf>
    <xf numFmtId="0" fontId="28" fillId="0" borderId="54" xfId="0" applyFont="1" applyFill="1" applyBorder="1" applyAlignment="1">
      <alignment horizontal="center" vertical="center" wrapText="1"/>
    </xf>
    <xf numFmtId="49" fontId="26" fillId="25" borderId="63" xfId="0" applyNumberFormat="1" applyFont="1" applyFill="1" applyBorder="1" applyAlignment="1">
      <alignment horizontal="center" vertical="center" wrapText="1"/>
    </xf>
    <xf numFmtId="0" fontId="43" fillId="0" borderId="49" xfId="0" applyFont="1" applyBorder="1" applyAlignment="1">
      <alignment horizontal="center" vertical="center"/>
    </xf>
    <xf numFmtId="0" fontId="43" fillId="0" borderId="11" xfId="0" applyFont="1" applyBorder="1" applyAlignment="1">
      <alignment horizontal="center" vertical="center"/>
    </xf>
    <xf numFmtId="0" fontId="43" fillId="0" borderId="28" xfId="0" applyFont="1" applyBorder="1" applyAlignment="1">
      <alignment horizontal="center" vertical="center"/>
    </xf>
    <xf numFmtId="0" fontId="43" fillId="0" borderId="87" xfId="0" applyFont="1" applyBorder="1" applyAlignment="1">
      <alignment horizontal="center" vertical="center"/>
    </xf>
    <xf numFmtId="0" fontId="43" fillId="0" borderId="59" xfId="0" applyFont="1" applyBorder="1" applyAlignment="1">
      <alignment horizontal="center" vertical="center"/>
    </xf>
    <xf numFmtId="0" fontId="43" fillId="0" borderId="65" xfId="0" applyFont="1" applyBorder="1" applyAlignment="1">
      <alignment horizontal="center" vertical="center"/>
    </xf>
    <xf numFmtId="0" fontId="43" fillId="0" borderId="38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54" xfId="0" applyFont="1" applyBorder="1" applyAlignment="1">
      <alignment horizontal="center" vertical="center"/>
    </xf>
    <xf numFmtId="0" fontId="43" fillId="0" borderId="18" xfId="0" applyFont="1" applyBorder="1" applyAlignment="1">
      <alignment horizontal="center" vertical="center"/>
    </xf>
    <xf numFmtId="0" fontId="43" fillId="0" borderId="30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</cellXfs>
  <cellStyles count="252">
    <cellStyle name="20 % – Zvýraznění1 2" xfId="1" xr:uid="{00000000-0005-0000-0000-000000000000}"/>
    <cellStyle name="20 % – Zvýraznění1 2 2" xfId="52" xr:uid="{00000000-0005-0000-0000-000001000000}"/>
    <cellStyle name="20 % – Zvýraznění2 2" xfId="2" xr:uid="{00000000-0005-0000-0000-000002000000}"/>
    <cellStyle name="20 % – Zvýraznění2 2 2" xfId="53" xr:uid="{00000000-0005-0000-0000-000003000000}"/>
    <cellStyle name="20 % – Zvýraznění3 2" xfId="3" xr:uid="{00000000-0005-0000-0000-000004000000}"/>
    <cellStyle name="20 % – Zvýraznění3 2 2" xfId="54" xr:uid="{00000000-0005-0000-0000-000005000000}"/>
    <cellStyle name="20 % – Zvýraznění4 2" xfId="4" xr:uid="{00000000-0005-0000-0000-000006000000}"/>
    <cellStyle name="20 % – Zvýraznění4 2 2" xfId="55" xr:uid="{00000000-0005-0000-0000-000007000000}"/>
    <cellStyle name="20 % – Zvýraznění5 2" xfId="5" xr:uid="{00000000-0005-0000-0000-000008000000}"/>
    <cellStyle name="20 % – Zvýraznění6 2" xfId="6" xr:uid="{00000000-0005-0000-0000-000009000000}"/>
    <cellStyle name="40 % – Zvýraznění1 2" xfId="7" xr:uid="{00000000-0005-0000-0000-00000A000000}"/>
    <cellStyle name="40 % – Zvýraznění1 2 2" xfId="56" xr:uid="{00000000-0005-0000-0000-00000B000000}"/>
    <cellStyle name="40 % – Zvýraznění2 2" xfId="8" xr:uid="{00000000-0005-0000-0000-00000C000000}"/>
    <cellStyle name="40 % – Zvýraznění3 2" xfId="9" xr:uid="{00000000-0005-0000-0000-00000D000000}"/>
    <cellStyle name="40 % – Zvýraznění3 2 2" xfId="57" xr:uid="{00000000-0005-0000-0000-00000E000000}"/>
    <cellStyle name="40 % – Zvýraznění4 2" xfId="10" xr:uid="{00000000-0005-0000-0000-00000F000000}"/>
    <cellStyle name="40 % – Zvýraznění4 2 2" xfId="58" xr:uid="{00000000-0005-0000-0000-000010000000}"/>
    <cellStyle name="40 % – Zvýraznění5 2" xfId="11" xr:uid="{00000000-0005-0000-0000-000011000000}"/>
    <cellStyle name="40 % – Zvýraznění6 2" xfId="12" xr:uid="{00000000-0005-0000-0000-000012000000}"/>
    <cellStyle name="40 % – Zvýraznění6 2 2" xfId="59" xr:uid="{00000000-0005-0000-0000-000013000000}"/>
    <cellStyle name="60 % – Zvýraznění1 2" xfId="13" xr:uid="{00000000-0005-0000-0000-000014000000}"/>
    <cellStyle name="60 % – Zvýraznění1 2 2" xfId="60" xr:uid="{00000000-0005-0000-0000-000015000000}"/>
    <cellStyle name="60 % – Zvýraznění2 2" xfId="14" xr:uid="{00000000-0005-0000-0000-000016000000}"/>
    <cellStyle name="60 % – Zvýraznění2 2 2" xfId="61" xr:uid="{00000000-0005-0000-0000-000017000000}"/>
    <cellStyle name="60 % – Zvýraznění3 2" xfId="15" xr:uid="{00000000-0005-0000-0000-000018000000}"/>
    <cellStyle name="60 % – Zvýraznění3 2 2" xfId="62" xr:uid="{00000000-0005-0000-0000-000019000000}"/>
    <cellStyle name="60 % – Zvýraznění4 2" xfId="16" xr:uid="{00000000-0005-0000-0000-00001A000000}"/>
    <cellStyle name="60 % – Zvýraznění4 2 2" xfId="63" xr:uid="{00000000-0005-0000-0000-00001B000000}"/>
    <cellStyle name="60 % – Zvýraznění5 2" xfId="17" xr:uid="{00000000-0005-0000-0000-00001C000000}"/>
    <cellStyle name="60 % – Zvýraznění5 2 2" xfId="64" xr:uid="{00000000-0005-0000-0000-00001D000000}"/>
    <cellStyle name="60 % – Zvýraznění6 2" xfId="18" xr:uid="{00000000-0005-0000-0000-00001E000000}"/>
    <cellStyle name="60 % – Zvýraznění6 2 2" xfId="65" xr:uid="{00000000-0005-0000-0000-00001F000000}"/>
    <cellStyle name="Celkem 2" xfId="19" xr:uid="{00000000-0005-0000-0000-000020000000}"/>
    <cellStyle name="Celkem 2 2" xfId="66" xr:uid="{00000000-0005-0000-0000-000021000000}"/>
    <cellStyle name="Celkem 2 2 2" xfId="67" xr:uid="{00000000-0005-0000-0000-000022000000}"/>
    <cellStyle name="Celkem 2 3" xfId="68" xr:uid="{00000000-0005-0000-0000-000023000000}"/>
    <cellStyle name="Celkem 2 3 2" xfId="69" xr:uid="{00000000-0005-0000-0000-000024000000}"/>
    <cellStyle name="Celkem 2 4" xfId="70" xr:uid="{00000000-0005-0000-0000-000025000000}"/>
    <cellStyle name="Celkem 2 4 2" xfId="71" xr:uid="{00000000-0005-0000-0000-000026000000}"/>
    <cellStyle name="Celkem 2 5" xfId="72" xr:uid="{00000000-0005-0000-0000-000027000000}"/>
    <cellStyle name="Celkem 2 5 2" xfId="73" xr:uid="{00000000-0005-0000-0000-000028000000}"/>
    <cellStyle name="Celkem 2 6" xfId="74" xr:uid="{00000000-0005-0000-0000-000029000000}"/>
    <cellStyle name="Celkem 2 6 2" xfId="75" xr:uid="{00000000-0005-0000-0000-00002A000000}"/>
    <cellStyle name="Celkem 2 7" xfId="76" xr:uid="{00000000-0005-0000-0000-00002B000000}"/>
    <cellStyle name="Celkem 2 8" xfId="77" xr:uid="{00000000-0005-0000-0000-00002C000000}"/>
    <cellStyle name="Celkem 2 9" xfId="78" xr:uid="{00000000-0005-0000-0000-00002D000000}"/>
    <cellStyle name="Čárka 2" xfId="79" xr:uid="{00000000-0005-0000-0000-00002E000000}"/>
    <cellStyle name="Čárka 2 2" xfId="80" xr:uid="{00000000-0005-0000-0000-00002F000000}"/>
    <cellStyle name="Čárka 2 3" xfId="81" xr:uid="{00000000-0005-0000-0000-000030000000}"/>
    <cellStyle name="Čárka 2 4" xfId="82" xr:uid="{00000000-0005-0000-0000-000031000000}"/>
    <cellStyle name="čárky 2" xfId="83" xr:uid="{00000000-0005-0000-0000-000032000000}"/>
    <cellStyle name="čárky 3" xfId="84" xr:uid="{00000000-0005-0000-0000-000033000000}"/>
    <cellStyle name="Chybně 2" xfId="20" xr:uid="{00000000-0005-0000-0000-000034000000}"/>
    <cellStyle name="Kontrolní buňka 2" xfId="21" xr:uid="{00000000-0005-0000-0000-000035000000}"/>
    <cellStyle name="Kontrolní buňka 2 2" xfId="85" xr:uid="{00000000-0005-0000-0000-000036000000}"/>
    <cellStyle name="Měna 3" xfId="86" xr:uid="{00000000-0005-0000-0000-000037000000}"/>
    <cellStyle name="Nadpis 1 2" xfId="22" xr:uid="{00000000-0005-0000-0000-000038000000}"/>
    <cellStyle name="Nadpis 1 2 2" xfId="87" xr:uid="{00000000-0005-0000-0000-000039000000}"/>
    <cellStyle name="Nadpis 2 2" xfId="23" xr:uid="{00000000-0005-0000-0000-00003A000000}"/>
    <cellStyle name="Nadpis 2 2 2" xfId="88" xr:uid="{00000000-0005-0000-0000-00003B000000}"/>
    <cellStyle name="Nadpis 3 2" xfId="24" xr:uid="{00000000-0005-0000-0000-00003C000000}"/>
    <cellStyle name="Nadpis 3 2 2" xfId="89" xr:uid="{00000000-0005-0000-0000-00003D000000}"/>
    <cellStyle name="Nadpis 3 2 2 2" xfId="90" xr:uid="{00000000-0005-0000-0000-00003E000000}"/>
    <cellStyle name="Nadpis 3 2 3" xfId="91" xr:uid="{00000000-0005-0000-0000-00003F000000}"/>
    <cellStyle name="Nadpis 3 2 3 2" xfId="92" xr:uid="{00000000-0005-0000-0000-000040000000}"/>
    <cellStyle name="Nadpis 3 2 4" xfId="93" xr:uid="{00000000-0005-0000-0000-000041000000}"/>
    <cellStyle name="Nadpis 3 2 5" xfId="94" xr:uid="{00000000-0005-0000-0000-000042000000}"/>
    <cellStyle name="Nadpis 3 2 6" xfId="95" xr:uid="{00000000-0005-0000-0000-000043000000}"/>
    <cellStyle name="Nadpis 4 2" xfId="25" xr:uid="{00000000-0005-0000-0000-000044000000}"/>
    <cellStyle name="Nadpis 4 2 2" xfId="96" xr:uid="{00000000-0005-0000-0000-000045000000}"/>
    <cellStyle name="Název 2" xfId="26" xr:uid="{00000000-0005-0000-0000-000046000000}"/>
    <cellStyle name="Název 2 2" xfId="97" xr:uid="{00000000-0005-0000-0000-000047000000}"/>
    <cellStyle name="Neutrální 2" xfId="27" xr:uid="{00000000-0005-0000-0000-000048000000}"/>
    <cellStyle name="Normální" xfId="0" builtinId="0"/>
    <cellStyle name="normální 10" xfId="98" xr:uid="{00000000-0005-0000-0000-00004A000000}"/>
    <cellStyle name="normální 10 2" xfId="99" xr:uid="{00000000-0005-0000-0000-00004B000000}"/>
    <cellStyle name="Normální 10 3" xfId="43" xr:uid="{00000000-0005-0000-0000-00004C000000}"/>
    <cellStyle name="Normální 11" xfId="100" xr:uid="{00000000-0005-0000-0000-00004D000000}"/>
    <cellStyle name="normální 11 2" xfId="101" xr:uid="{00000000-0005-0000-0000-00004E000000}"/>
    <cellStyle name="Normální 12" xfId="102" xr:uid="{00000000-0005-0000-0000-00004F000000}"/>
    <cellStyle name="Normální 12 2" xfId="103" xr:uid="{00000000-0005-0000-0000-000050000000}"/>
    <cellStyle name="normální 12 3" xfId="104" xr:uid="{00000000-0005-0000-0000-000051000000}"/>
    <cellStyle name="Normální 13" xfId="105" xr:uid="{00000000-0005-0000-0000-000052000000}"/>
    <cellStyle name="Normální 13 2" xfId="106" xr:uid="{00000000-0005-0000-0000-000053000000}"/>
    <cellStyle name="Normální 13 3" xfId="107" xr:uid="{00000000-0005-0000-0000-000054000000}"/>
    <cellStyle name="Normální 13 3 2" xfId="108" xr:uid="{00000000-0005-0000-0000-000055000000}"/>
    <cellStyle name="normální 139" xfId="109" xr:uid="{00000000-0005-0000-0000-000056000000}"/>
    <cellStyle name="Normální 14" xfId="44" xr:uid="{00000000-0005-0000-0000-000057000000}"/>
    <cellStyle name="Normální 15" xfId="45" xr:uid="{00000000-0005-0000-0000-000058000000}"/>
    <cellStyle name="Normální 16" xfId="46" xr:uid="{00000000-0005-0000-0000-000059000000}"/>
    <cellStyle name="Normální 16 2" xfId="110" xr:uid="{00000000-0005-0000-0000-00005A000000}"/>
    <cellStyle name="Normální 16 2 2" xfId="111" xr:uid="{00000000-0005-0000-0000-00005B000000}"/>
    <cellStyle name="Normální 17" xfId="47" xr:uid="{00000000-0005-0000-0000-00005C000000}"/>
    <cellStyle name="Normální 17 2" xfId="112" xr:uid="{00000000-0005-0000-0000-00005D000000}"/>
    <cellStyle name="Normální 17 2 2" xfId="113" xr:uid="{00000000-0005-0000-0000-00005E000000}"/>
    <cellStyle name="Normální 18" xfId="48" xr:uid="{00000000-0005-0000-0000-00005F000000}"/>
    <cellStyle name="Normální 19" xfId="49" xr:uid="{00000000-0005-0000-0000-000060000000}"/>
    <cellStyle name="Normální 2" xfId="28" xr:uid="{00000000-0005-0000-0000-000061000000}"/>
    <cellStyle name="normální 2 10" xfId="114" xr:uid="{00000000-0005-0000-0000-000062000000}"/>
    <cellStyle name="normální 2 11" xfId="115" xr:uid="{00000000-0005-0000-0000-000063000000}"/>
    <cellStyle name="Normální 2 2" xfId="116" xr:uid="{00000000-0005-0000-0000-000064000000}"/>
    <cellStyle name="Normální 2 2 2" xfId="117" xr:uid="{00000000-0005-0000-0000-000065000000}"/>
    <cellStyle name="Normální 2 2 3" xfId="118" xr:uid="{00000000-0005-0000-0000-000066000000}"/>
    <cellStyle name="normální 2 2 4" xfId="119" xr:uid="{00000000-0005-0000-0000-000067000000}"/>
    <cellStyle name="normální 2 3" xfId="120" xr:uid="{00000000-0005-0000-0000-000068000000}"/>
    <cellStyle name="normální 2 4" xfId="121" xr:uid="{00000000-0005-0000-0000-000069000000}"/>
    <cellStyle name="normální 2 5" xfId="122" xr:uid="{00000000-0005-0000-0000-00006A000000}"/>
    <cellStyle name="normální 2 6" xfId="123" xr:uid="{00000000-0005-0000-0000-00006B000000}"/>
    <cellStyle name="normální 2 7" xfId="124" xr:uid="{00000000-0005-0000-0000-00006C000000}"/>
    <cellStyle name="normální 2 8" xfId="125" xr:uid="{00000000-0005-0000-0000-00006D000000}"/>
    <cellStyle name="normální 2 9" xfId="126" xr:uid="{00000000-0005-0000-0000-00006E000000}"/>
    <cellStyle name="Normální 20" xfId="127" xr:uid="{00000000-0005-0000-0000-00006F000000}"/>
    <cellStyle name="Normální 21" xfId="50" xr:uid="{00000000-0005-0000-0000-000070000000}"/>
    <cellStyle name="Normální 22" xfId="128" xr:uid="{00000000-0005-0000-0000-000071000000}"/>
    <cellStyle name="Normální 23" xfId="129" xr:uid="{00000000-0005-0000-0000-000072000000}"/>
    <cellStyle name="Normální 24" xfId="130" xr:uid="{00000000-0005-0000-0000-000073000000}"/>
    <cellStyle name="Normální 25" xfId="131" xr:uid="{00000000-0005-0000-0000-000074000000}"/>
    <cellStyle name="normální 26" xfId="132" xr:uid="{00000000-0005-0000-0000-000075000000}"/>
    <cellStyle name="normální 26 4" xfId="133" xr:uid="{00000000-0005-0000-0000-000076000000}"/>
    <cellStyle name="normální 26 6" xfId="134" xr:uid="{00000000-0005-0000-0000-000077000000}"/>
    <cellStyle name="Normální 27" xfId="135" xr:uid="{00000000-0005-0000-0000-000078000000}"/>
    <cellStyle name="Normální 28" xfId="136" xr:uid="{00000000-0005-0000-0000-000079000000}"/>
    <cellStyle name="Normální 29" xfId="137" xr:uid="{00000000-0005-0000-0000-00007A000000}"/>
    <cellStyle name="Normální 3" xfId="51" xr:uid="{00000000-0005-0000-0000-00007B000000}"/>
    <cellStyle name="Normální 3 2" xfId="138" xr:uid="{00000000-0005-0000-0000-00007C000000}"/>
    <cellStyle name="normální 30" xfId="139" xr:uid="{00000000-0005-0000-0000-00007D000000}"/>
    <cellStyle name="Normální 31" xfId="140" xr:uid="{00000000-0005-0000-0000-00007E000000}"/>
    <cellStyle name="Normální 32" xfId="141" xr:uid="{00000000-0005-0000-0000-00007F000000}"/>
    <cellStyle name="Normální 33" xfId="142" xr:uid="{00000000-0005-0000-0000-000080000000}"/>
    <cellStyle name="Normální 34" xfId="143" xr:uid="{00000000-0005-0000-0000-000081000000}"/>
    <cellStyle name="Normální 35" xfId="144" xr:uid="{00000000-0005-0000-0000-000082000000}"/>
    <cellStyle name="Normální 36" xfId="145" xr:uid="{00000000-0005-0000-0000-000083000000}"/>
    <cellStyle name="Normální 37" xfId="146" xr:uid="{00000000-0005-0000-0000-000084000000}"/>
    <cellStyle name="Normální 38" xfId="147" xr:uid="{00000000-0005-0000-0000-000085000000}"/>
    <cellStyle name="Normální 39" xfId="148" xr:uid="{00000000-0005-0000-0000-000086000000}"/>
    <cellStyle name="normální 4" xfId="149" xr:uid="{00000000-0005-0000-0000-000087000000}"/>
    <cellStyle name="normální 4 2" xfId="150" xr:uid="{00000000-0005-0000-0000-000088000000}"/>
    <cellStyle name="normální 4 3" xfId="151" xr:uid="{00000000-0005-0000-0000-000089000000}"/>
    <cellStyle name="Normální 40" xfId="152" xr:uid="{00000000-0005-0000-0000-00008A000000}"/>
    <cellStyle name="Normální 41" xfId="153" xr:uid="{00000000-0005-0000-0000-00008B000000}"/>
    <cellStyle name="Normální 42" xfId="154" xr:uid="{00000000-0005-0000-0000-00008C000000}"/>
    <cellStyle name="Normální 43" xfId="155" xr:uid="{00000000-0005-0000-0000-00008D000000}"/>
    <cellStyle name="normální 5" xfId="156" xr:uid="{00000000-0005-0000-0000-00008E000000}"/>
    <cellStyle name="normální 5 2" xfId="157" xr:uid="{00000000-0005-0000-0000-00008F000000}"/>
    <cellStyle name="normální 5 3" xfId="158" xr:uid="{00000000-0005-0000-0000-000090000000}"/>
    <cellStyle name="normální 6" xfId="159" xr:uid="{00000000-0005-0000-0000-000091000000}"/>
    <cellStyle name="normální 6 2" xfId="160" xr:uid="{00000000-0005-0000-0000-000092000000}"/>
    <cellStyle name="normální 6 3" xfId="161" xr:uid="{00000000-0005-0000-0000-000093000000}"/>
    <cellStyle name="normální 7" xfId="162" xr:uid="{00000000-0005-0000-0000-000094000000}"/>
    <cellStyle name="normální 7 10" xfId="163" xr:uid="{00000000-0005-0000-0000-000095000000}"/>
    <cellStyle name="Normální 7 11" xfId="164" xr:uid="{00000000-0005-0000-0000-000096000000}"/>
    <cellStyle name="Normální 7 2" xfId="165" xr:uid="{00000000-0005-0000-0000-000097000000}"/>
    <cellStyle name="Normální 7 3" xfId="166" xr:uid="{00000000-0005-0000-0000-000098000000}"/>
    <cellStyle name="normální 7 4" xfId="167" xr:uid="{00000000-0005-0000-0000-000099000000}"/>
    <cellStyle name="normální 7 5" xfId="168" xr:uid="{00000000-0005-0000-0000-00009A000000}"/>
    <cellStyle name="normální 7 6" xfId="169" xr:uid="{00000000-0005-0000-0000-00009B000000}"/>
    <cellStyle name="normální 7 7" xfId="170" xr:uid="{00000000-0005-0000-0000-00009C000000}"/>
    <cellStyle name="normální 7 8" xfId="171" xr:uid="{00000000-0005-0000-0000-00009D000000}"/>
    <cellStyle name="normální 7 9" xfId="172" xr:uid="{00000000-0005-0000-0000-00009E000000}"/>
    <cellStyle name="normální 8" xfId="173" xr:uid="{00000000-0005-0000-0000-00009F000000}"/>
    <cellStyle name="normální 8 2" xfId="174" xr:uid="{00000000-0005-0000-0000-0000A0000000}"/>
    <cellStyle name="normální 8 3" xfId="175" xr:uid="{00000000-0005-0000-0000-0000A1000000}"/>
    <cellStyle name="normální 9" xfId="176" xr:uid="{00000000-0005-0000-0000-0000A2000000}"/>
    <cellStyle name="normální 9 10" xfId="177" xr:uid="{00000000-0005-0000-0000-0000A3000000}"/>
    <cellStyle name="Normální 9 11" xfId="178" xr:uid="{00000000-0005-0000-0000-0000A4000000}"/>
    <cellStyle name="Normální 9 2" xfId="179" xr:uid="{00000000-0005-0000-0000-0000A5000000}"/>
    <cellStyle name="Normální 9 3" xfId="180" xr:uid="{00000000-0005-0000-0000-0000A6000000}"/>
    <cellStyle name="normální 9 4" xfId="181" xr:uid="{00000000-0005-0000-0000-0000A7000000}"/>
    <cellStyle name="normální 9 5" xfId="182" xr:uid="{00000000-0005-0000-0000-0000A8000000}"/>
    <cellStyle name="normální 9 6" xfId="183" xr:uid="{00000000-0005-0000-0000-0000A9000000}"/>
    <cellStyle name="normální 9 7" xfId="184" xr:uid="{00000000-0005-0000-0000-0000AA000000}"/>
    <cellStyle name="normální 9 8" xfId="185" xr:uid="{00000000-0005-0000-0000-0000AB000000}"/>
    <cellStyle name="normální 9 9" xfId="186" xr:uid="{00000000-0005-0000-0000-0000AC000000}"/>
    <cellStyle name="Poznámka 2" xfId="29" xr:uid="{00000000-0005-0000-0000-0000AD000000}"/>
    <cellStyle name="Poznámka 2 2" xfId="187" xr:uid="{00000000-0005-0000-0000-0000AE000000}"/>
    <cellStyle name="Poznámka 2 2 2" xfId="188" xr:uid="{00000000-0005-0000-0000-0000AF000000}"/>
    <cellStyle name="Poznámka 2 3" xfId="189" xr:uid="{00000000-0005-0000-0000-0000B0000000}"/>
    <cellStyle name="Poznámka 2 3 2" xfId="190" xr:uid="{00000000-0005-0000-0000-0000B1000000}"/>
    <cellStyle name="Poznámka 2 4" xfId="191" xr:uid="{00000000-0005-0000-0000-0000B2000000}"/>
    <cellStyle name="Poznámka 2 4 2" xfId="192" xr:uid="{00000000-0005-0000-0000-0000B3000000}"/>
    <cellStyle name="Poznámka 2 5" xfId="193" xr:uid="{00000000-0005-0000-0000-0000B4000000}"/>
    <cellStyle name="Poznámka 2 5 2" xfId="194" xr:uid="{00000000-0005-0000-0000-0000B5000000}"/>
    <cellStyle name="Poznámka 2 6" xfId="195" xr:uid="{00000000-0005-0000-0000-0000B6000000}"/>
    <cellStyle name="Poznámka 2 6 2" xfId="196" xr:uid="{00000000-0005-0000-0000-0000B7000000}"/>
    <cellStyle name="Poznámka 2 7" xfId="197" xr:uid="{00000000-0005-0000-0000-0000B8000000}"/>
    <cellStyle name="Poznámka 2 8" xfId="198" xr:uid="{00000000-0005-0000-0000-0000B9000000}"/>
    <cellStyle name="Poznámka 2 9" xfId="199" xr:uid="{00000000-0005-0000-0000-0000BA000000}"/>
    <cellStyle name="Procenta 2" xfId="200" xr:uid="{00000000-0005-0000-0000-0000BB000000}"/>
    <cellStyle name="Procenta 2 2" xfId="201" xr:uid="{00000000-0005-0000-0000-0000BC000000}"/>
    <cellStyle name="Procenta 2 2 2" xfId="202" xr:uid="{00000000-0005-0000-0000-0000BD000000}"/>
    <cellStyle name="Procenta 2 2 3" xfId="203" xr:uid="{00000000-0005-0000-0000-0000BE000000}"/>
    <cellStyle name="Procenta 2 3" xfId="204" xr:uid="{00000000-0005-0000-0000-0000BF000000}"/>
    <cellStyle name="Procenta 2 4" xfId="205" xr:uid="{00000000-0005-0000-0000-0000C0000000}"/>
    <cellStyle name="Procenta 3" xfId="206" xr:uid="{00000000-0005-0000-0000-0000C1000000}"/>
    <cellStyle name="Propojená buňka 2" xfId="30" xr:uid="{00000000-0005-0000-0000-0000C2000000}"/>
    <cellStyle name="Správně 2" xfId="31" xr:uid="{00000000-0005-0000-0000-0000C3000000}"/>
    <cellStyle name="Styl 1" xfId="207" xr:uid="{00000000-0005-0000-0000-0000C4000000}"/>
    <cellStyle name="Text upozornění 2" xfId="32" xr:uid="{00000000-0005-0000-0000-0000C5000000}"/>
    <cellStyle name="Vstup 2" xfId="33" xr:uid="{00000000-0005-0000-0000-0000C6000000}"/>
    <cellStyle name="Vstup 2 2" xfId="208" xr:uid="{00000000-0005-0000-0000-0000C7000000}"/>
    <cellStyle name="Vstup 2 2 2" xfId="209" xr:uid="{00000000-0005-0000-0000-0000C8000000}"/>
    <cellStyle name="Vstup 2 3" xfId="210" xr:uid="{00000000-0005-0000-0000-0000C9000000}"/>
    <cellStyle name="Vstup 2 3 2" xfId="211" xr:uid="{00000000-0005-0000-0000-0000CA000000}"/>
    <cellStyle name="Vstup 2 4" xfId="212" xr:uid="{00000000-0005-0000-0000-0000CB000000}"/>
    <cellStyle name="Vstup 2 4 2" xfId="213" xr:uid="{00000000-0005-0000-0000-0000CC000000}"/>
    <cellStyle name="Vstup 2 5" xfId="214" xr:uid="{00000000-0005-0000-0000-0000CD000000}"/>
    <cellStyle name="Vstup 2 5 2" xfId="215" xr:uid="{00000000-0005-0000-0000-0000CE000000}"/>
    <cellStyle name="Vstup 2 6" xfId="216" xr:uid="{00000000-0005-0000-0000-0000CF000000}"/>
    <cellStyle name="Vstup 2 7" xfId="217" xr:uid="{00000000-0005-0000-0000-0000D0000000}"/>
    <cellStyle name="Vstup 2 8" xfId="218" xr:uid="{00000000-0005-0000-0000-0000D1000000}"/>
    <cellStyle name="Vstup 2 9" xfId="219" xr:uid="{00000000-0005-0000-0000-0000D2000000}"/>
    <cellStyle name="Výpočet 2" xfId="34" xr:uid="{00000000-0005-0000-0000-0000D3000000}"/>
    <cellStyle name="Výpočet 2 2" xfId="220" xr:uid="{00000000-0005-0000-0000-0000D4000000}"/>
    <cellStyle name="Výpočet 2 2 2" xfId="221" xr:uid="{00000000-0005-0000-0000-0000D5000000}"/>
    <cellStyle name="Výpočet 2 3" xfId="222" xr:uid="{00000000-0005-0000-0000-0000D6000000}"/>
    <cellStyle name="Výpočet 2 3 2" xfId="223" xr:uid="{00000000-0005-0000-0000-0000D7000000}"/>
    <cellStyle name="Výpočet 2 4" xfId="224" xr:uid="{00000000-0005-0000-0000-0000D8000000}"/>
    <cellStyle name="Výpočet 2 4 2" xfId="225" xr:uid="{00000000-0005-0000-0000-0000D9000000}"/>
    <cellStyle name="Výpočet 2 5" xfId="226" xr:uid="{00000000-0005-0000-0000-0000DA000000}"/>
    <cellStyle name="Výpočet 2 5 2" xfId="227" xr:uid="{00000000-0005-0000-0000-0000DB000000}"/>
    <cellStyle name="Výpočet 2 6" xfId="228" xr:uid="{00000000-0005-0000-0000-0000DC000000}"/>
    <cellStyle name="Výpočet 2 6 2" xfId="229" xr:uid="{00000000-0005-0000-0000-0000DD000000}"/>
    <cellStyle name="Výpočet 2 7" xfId="230" xr:uid="{00000000-0005-0000-0000-0000DE000000}"/>
    <cellStyle name="Výpočet 2 8" xfId="231" xr:uid="{00000000-0005-0000-0000-0000DF000000}"/>
    <cellStyle name="Výpočet 2 9" xfId="232" xr:uid="{00000000-0005-0000-0000-0000E0000000}"/>
    <cellStyle name="Výstup 2" xfId="35" xr:uid="{00000000-0005-0000-0000-0000E1000000}"/>
    <cellStyle name="Výstup 2 2" xfId="233" xr:uid="{00000000-0005-0000-0000-0000E2000000}"/>
    <cellStyle name="Výstup 2 2 2" xfId="234" xr:uid="{00000000-0005-0000-0000-0000E3000000}"/>
    <cellStyle name="Výstup 2 3" xfId="235" xr:uid="{00000000-0005-0000-0000-0000E4000000}"/>
    <cellStyle name="Výstup 2 3 2" xfId="236" xr:uid="{00000000-0005-0000-0000-0000E5000000}"/>
    <cellStyle name="Výstup 2 4" xfId="237" xr:uid="{00000000-0005-0000-0000-0000E6000000}"/>
    <cellStyle name="Výstup 2 4 2" xfId="238" xr:uid="{00000000-0005-0000-0000-0000E7000000}"/>
    <cellStyle name="Výstup 2 5" xfId="239" xr:uid="{00000000-0005-0000-0000-0000E8000000}"/>
    <cellStyle name="Výstup 2 5 2" xfId="240" xr:uid="{00000000-0005-0000-0000-0000E9000000}"/>
    <cellStyle name="Výstup 2 6" xfId="241" xr:uid="{00000000-0005-0000-0000-0000EA000000}"/>
    <cellStyle name="Výstup 2 6 2" xfId="242" xr:uid="{00000000-0005-0000-0000-0000EB000000}"/>
    <cellStyle name="Výstup 2 7" xfId="243" xr:uid="{00000000-0005-0000-0000-0000EC000000}"/>
    <cellStyle name="Výstup 2 8" xfId="244" xr:uid="{00000000-0005-0000-0000-0000ED000000}"/>
    <cellStyle name="Výstup 2 9" xfId="245" xr:uid="{00000000-0005-0000-0000-0000EE000000}"/>
    <cellStyle name="Vysvětlující text 2" xfId="36" xr:uid="{00000000-0005-0000-0000-0000EF000000}"/>
    <cellStyle name="Zvýraznění 1 2" xfId="37" xr:uid="{00000000-0005-0000-0000-0000F0000000}"/>
    <cellStyle name="Zvýraznění 1 2 2" xfId="246" xr:uid="{00000000-0005-0000-0000-0000F1000000}"/>
    <cellStyle name="Zvýraznění 2 2" xfId="38" xr:uid="{00000000-0005-0000-0000-0000F2000000}"/>
    <cellStyle name="Zvýraznění 2 2 2" xfId="247" xr:uid="{00000000-0005-0000-0000-0000F3000000}"/>
    <cellStyle name="Zvýraznění 3 2" xfId="39" xr:uid="{00000000-0005-0000-0000-0000F4000000}"/>
    <cellStyle name="Zvýraznění 3 2 2" xfId="248" xr:uid="{00000000-0005-0000-0000-0000F5000000}"/>
    <cellStyle name="Zvýraznění 4 2" xfId="40" xr:uid="{00000000-0005-0000-0000-0000F6000000}"/>
    <cellStyle name="Zvýraznění 4 2 2" xfId="249" xr:uid="{00000000-0005-0000-0000-0000F7000000}"/>
    <cellStyle name="Zvýraznění 5 2" xfId="41" xr:uid="{00000000-0005-0000-0000-0000F8000000}"/>
    <cellStyle name="Zvýraznění 5 2 2" xfId="250" xr:uid="{00000000-0005-0000-0000-0000F9000000}"/>
    <cellStyle name="Zvýraznění 6 2" xfId="42" xr:uid="{00000000-0005-0000-0000-0000FA000000}"/>
    <cellStyle name="Zvýraznění 6 2 2" xfId="251" xr:uid="{00000000-0005-0000-0000-0000FB000000}"/>
  </cellStyles>
  <dxfs count="4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624684</xdr:colOff>
      <xdr:row>0</xdr:row>
      <xdr:rowOff>363772</xdr:rowOff>
    </xdr:to>
    <xdr:sp macro="[0]!SkocNaKonec" textlink="">
      <xdr:nvSpPr>
        <xdr:cNvPr id="2" name="Obdélník 1">
          <a:extLst>
            <a:ext uri="{FF2B5EF4-FFF2-40B4-BE49-F238E27FC236}">
              <a16:creationId xmlns:a16="http://schemas.microsoft.com/office/drawing/2014/main" id="{032C8557-185B-4084-8E07-F26BE0B658E2}"/>
            </a:ext>
          </a:extLst>
        </xdr:cNvPr>
        <xdr:cNvSpPr/>
      </xdr:nvSpPr>
      <xdr:spPr bwMode="auto">
        <a:xfrm>
          <a:off x="0" y="0"/>
          <a:ext cx="1944577" cy="363772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ctr"/>
          <a:r>
            <a:rPr lang="cs-CZ" sz="1100" b="1" u="sng">
              <a:latin typeface="Arial Narrow" panose="020B0606020202030204" pitchFamily="34" charset="0"/>
            </a:rPr>
            <a:t>SKOČ</a:t>
          </a:r>
          <a:r>
            <a:rPr lang="cs-CZ" sz="1100" b="1" u="sng" baseline="0">
              <a:latin typeface="Arial Narrow" panose="020B0606020202030204" pitchFamily="34" charset="0"/>
            </a:rPr>
            <a:t> NA KONEC</a:t>
          </a:r>
          <a:endParaRPr lang="cs-CZ" sz="1100" b="1" u="sng">
            <a:latin typeface="Arial Narrow" panose="020B0606020202030204" pitchFamily="34" charset="0"/>
          </a:endParaRPr>
        </a:p>
      </xdr:txBody>
    </xdr:sp>
    <xdr:clientData fPrintsWithSheet="0"/>
  </xdr:twoCellAnchor>
  <xdr:twoCellAnchor>
    <xdr:from>
      <xdr:col>1</xdr:col>
      <xdr:colOff>692489</xdr:colOff>
      <xdr:row>0</xdr:row>
      <xdr:rowOff>15240</xdr:rowOff>
    </xdr:from>
    <xdr:to>
      <xdr:col>3</xdr:col>
      <xdr:colOff>4145332</xdr:colOff>
      <xdr:row>0</xdr:row>
      <xdr:rowOff>365715</xdr:rowOff>
    </xdr:to>
    <xdr:grpSp>
      <xdr:nvGrpSpPr>
        <xdr:cNvPr id="3" name="Skupina 2">
          <a:extLst>
            <a:ext uri="{FF2B5EF4-FFF2-40B4-BE49-F238E27FC236}">
              <a16:creationId xmlns:a16="http://schemas.microsoft.com/office/drawing/2014/main" id="{79D090F3-8D38-4A94-816C-81E8673C93CC}"/>
            </a:ext>
          </a:extLst>
        </xdr:cNvPr>
        <xdr:cNvGrpSpPr/>
      </xdr:nvGrpSpPr>
      <xdr:grpSpPr>
        <a:xfrm>
          <a:off x="1978364" y="15240"/>
          <a:ext cx="5043518" cy="350475"/>
          <a:chOff x="2623400" y="0"/>
          <a:chExt cx="5159296" cy="363810"/>
        </a:xfrm>
      </xdr:grpSpPr>
      <xdr:sp macro="[0]!Skryj2" textlink="">
        <xdr:nvSpPr>
          <xdr:cNvPr id="4" name="Obdélník 3">
            <a:extLst>
              <a:ext uri="{FF2B5EF4-FFF2-40B4-BE49-F238E27FC236}">
                <a16:creationId xmlns:a16="http://schemas.microsoft.com/office/drawing/2014/main" id="{E9AD4525-ECA0-4C60-894D-14C912BE4967}"/>
              </a:ext>
            </a:extLst>
          </xdr:cNvPr>
          <xdr:cNvSpPr>
            <a:spLocks noChangeAspect="1"/>
          </xdr:cNvSpPr>
        </xdr:nvSpPr>
        <xdr:spPr bwMode="auto">
          <a:xfrm>
            <a:off x="4159678" y="0"/>
            <a:ext cx="477739" cy="36004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latin typeface="Arial Narrow" panose="020B0606020202030204" pitchFamily="34" charset="0"/>
              </a:rPr>
              <a:t>1</a:t>
            </a:r>
          </a:p>
        </xdr:txBody>
      </xdr:sp>
      <xdr:sp macro="[0]!Skryj3" textlink="">
        <xdr:nvSpPr>
          <xdr:cNvPr id="5" name="Obdélník 4">
            <a:extLst>
              <a:ext uri="{FF2B5EF4-FFF2-40B4-BE49-F238E27FC236}">
                <a16:creationId xmlns:a16="http://schemas.microsoft.com/office/drawing/2014/main" id="{768C4655-E127-488A-986A-B7D79421EBCD}"/>
              </a:ext>
            </a:extLst>
          </xdr:cNvPr>
          <xdr:cNvSpPr>
            <a:spLocks noChangeAspect="1"/>
          </xdr:cNvSpPr>
        </xdr:nvSpPr>
        <xdr:spPr bwMode="auto">
          <a:xfrm>
            <a:off x="4684445" y="0"/>
            <a:ext cx="468214" cy="36381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latin typeface="Arial Narrow" panose="020B0606020202030204" pitchFamily="34" charset="0"/>
              </a:rPr>
              <a:t>2</a:t>
            </a:r>
          </a:p>
        </xdr:txBody>
      </xdr:sp>
      <xdr:sp macro="[0]!Skryj4" textlink="">
        <xdr:nvSpPr>
          <xdr:cNvPr id="6" name="Obdélník 5">
            <a:extLst>
              <a:ext uri="{FF2B5EF4-FFF2-40B4-BE49-F238E27FC236}">
                <a16:creationId xmlns:a16="http://schemas.microsoft.com/office/drawing/2014/main" id="{E464D866-D306-4519-A122-550F46EBEE61}"/>
              </a:ext>
            </a:extLst>
          </xdr:cNvPr>
          <xdr:cNvSpPr>
            <a:spLocks noChangeAspect="1"/>
          </xdr:cNvSpPr>
        </xdr:nvSpPr>
        <xdr:spPr bwMode="auto">
          <a:xfrm>
            <a:off x="5201592" y="0"/>
            <a:ext cx="483454" cy="36004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latin typeface="Arial Narrow" panose="020B0606020202030204" pitchFamily="34" charset="0"/>
              </a:rPr>
              <a:t>3</a:t>
            </a:r>
          </a:p>
        </xdr:txBody>
      </xdr:sp>
      <xdr:sp macro="[0]!Skryj5" textlink="">
        <xdr:nvSpPr>
          <xdr:cNvPr id="7" name="Obdélník 6">
            <a:extLst>
              <a:ext uri="{FF2B5EF4-FFF2-40B4-BE49-F238E27FC236}">
                <a16:creationId xmlns:a16="http://schemas.microsoft.com/office/drawing/2014/main" id="{2083EDA8-504E-4957-94B5-CBFABA2C6E11}"/>
              </a:ext>
            </a:extLst>
          </xdr:cNvPr>
          <xdr:cNvSpPr>
            <a:spLocks noChangeAspect="1"/>
          </xdr:cNvSpPr>
        </xdr:nvSpPr>
        <xdr:spPr bwMode="auto">
          <a:xfrm>
            <a:off x="5722792" y="0"/>
            <a:ext cx="489169" cy="36381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latin typeface="Arial Narrow" panose="020B0606020202030204" pitchFamily="34" charset="0"/>
              </a:rPr>
              <a:t>4</a:t>
            </a:r>
          </a:p>
        </xdr:txBody>
      </xdr:sp>
      <xdr:sp macro="[0]!Vse" textlink="">
        <xdr:nvSpPr>
          <xdr:cNvPr id="8" name="Obdélník 7">
            <a:extLst>
              <a:ext uri="{FF2B5EF4-FFF2-40B4-BE49-F238E27FC236}">
                <a16:creationId xmlns:a16="http://schemas.microsoft.com/office/drawing/2014/main" id="{B2E7840C-D1A6-428C-9D74-CF17B8B8DD58}"/>
              </a:ext>
            </a:extLst>
          </xdr:cNvPr>
          <xdr:cNvSpPr>
            <a:spLocks noChangeAspect="1"/>
          </xdr:cNvSpPr>
        </xdr:nvSpPr>
        <xdr:spPr bwMode="auto">
          <a:xfrm>
            <a:off x="6258057" y="0"/>
            <a:ext cx="491074" cy="36004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latin typeface="Arial Narrow" panose="020B0606020202030204" pitchFamily="34" charset="0"/>
              </a:rPr>
              <a:t>VŠE</a:t>
            </a:r>
          </a:p>
        </xdr:txBody>
      </xdr:sp>
      <xdr:sp macro="[0]!SkryjVse" textlink="">
        <xdr:nvSpPr>
          <xdr:cNvPr id="9" name="Obdélník 8">
            <a:extLst>
              <a:ext uri="{FF2B5EF4-FFF2-40B4-BE49-F238E27FC236}">
                <a16:creationId xmlns:a16="http://schemas.microsoft.com/office/drawing/2014/main" id="{C30FEB75-EB10-4DC6-ABDA-B3B09D274717}"/>
              </a:ext>
            </a:extLst>
          </xdr:cNvPr>
          <xdr:cNvSpPr>
            <a:spLocks noChangeAspect="1"/>
          </xdr:cNvSpPr>
        </xdr:nvSpPr>
        <xdr:spPr bwMode="auto">
          <a:xfrm>
            <a:off x="2623400" y="0"/>
            <a:ext cx="1496004" cy="36004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latin typeface="Arial Narrow" panose="020B0606020202030204" pitchFamily="34" charset="0"/>
              </a:rPr>
              <a:t>POUZE CELK. SOUČTY</a:t>
            </a:r>
          </a:p>
        </xdr:txBody>
      </xdr:sp>
      <xdr:sp macro="[0]!BezDR" textlink="">
        <xdr:nvSpPr>
          <xdr:cNvPr id="10" name="Obdélník 9">
            <a:extLst>
              <a:ext uri="{FF2B5EF4-FFF2-40B4-BE49-F238E27FC236}">
                <a16:creationId xmlns:a16="http://schemas.microsoft.com/office/drawing/2014/main" id="{AC439872-4C2D-49EB-84E7-84E1056D0499}"/>
              </a:ext>
            </a:extLst>
          </xdr:cNvPr>
          <xdr:cNvSpPr>
            <a:spLocks noChangeAspect="1"/>
          </xdr:cNvSpPr>
        </xdr:nvSpPr>
        <xdr:spPr bwMode="auto">
          <a:xfrm>
            <a:off x="6930868" y="0"/>
            <a:ext cx="851828" cy="360040"/>
          </a:xfrm>
          <a:prstGeom prst="rect">
            <a:avLst/>
          </a:prstGeom>
          <a:ln>
            <a:headEnd type="none" w="med" len="med"/>
            <a:tailEnd type="none" w="med" len="med"/>
          </a:ln>
        </xdr:spPr>
        <xdr:style>
          <a:lnRef idx="2">
            <a:schemeClr val="accent4">
              <a:shade val="50000"/>
            </a:schemeClr>
          </a:lnRef>
          <a:fillRef idx="1">
            <a:schemeClr val="accent4"/>
          </a:fillRef>
          <a:effectRef idx="0">
            <a:schemeClr val="accent4"/>
          </a:effectRef>
          <a:fontRef idx="minor">
            <a:schemeClr val="lt1"/>
          </a:fontRef>
        </xdr:style>
        <xdr:txBody>
          <a:bodyPr vertOverflow="clip" wrap="square" lIns="18288" tIns="0" rIns="0" bIns="0" rtlCol="0" anchor="ctr" upright="1"/>
          <a:lstStyle/>
          <a:p>
            <a:pPr algn="ctr"/>
            <a:r>
              <a:rPr lang="cs-CZ" sz="1100" b="1" u="sng">
                <a:latin typeface="Arial Narrow" panose="020B0606020202030204" pitchFamily="34" charset="0"/>
              </a:rPr>
              <a:t>BEZ DR</a:t>
            </a:r>
          </a:p>
        </xdr:txBody>
      </xdr:sp>
    </xdr:grpSp>
    <xdr:clientData fPrintsWithSheet="0"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3"/>
  <dimension ref="A1:CW2682"/>
  <sheetViews>
    <sheetView showGridLines="0" showZeros="0" tabSelected="1" zoomScaleNormal="100" zoomScaleSheetLayoutView="40" workbookViewId="0">
      <pane xSplit="6" ySplit="6" topLeftCell="G122" activePane="bottomRight" state="frozen"/>
      <selection pane="topRight" activeCell="F1" sqref="F1"/>
      <selection pane="bottomLeft" activeCell="A7" sqref="A7"/>
      <selection pane="bottomRight" activeCell="Y151" sqref="Y151"/>
    </sheetView>
  </sheetViews>
  <sheetFormatPr defaultColWidth="9.140625" defaultRowHeight="12.75" x14ac:dyDescent="0.2"/>
  <cols>
    <col min="1" max="1" width="19.28515625" style="1" customWidth="1"/>
    <col min="2" max="2" width="17" style="1" customWidth="1"/>
    <col min="3" max="3" width="8.140625" style="1" bestFit="1" customWidth="1"/>
    <col min="4" max="4" width="60.85546875" style="1" customWidth="1"/>
    <col min="5" max="5" width="18.5703125" style="2" customWidth="1"/>
    <col min="6" max="6" width="15.7109375" style="1" customWidth="1"/>
    <col min="7" max="7" width="4.140625" style="1" customWidth="1"/>
    <col min="8" max="8" width="12.5703125" style="1" customWidth="1"/>
    <col min="9" max="12" width="9.7109375" style="1" hidden="1" customWidth="1"/>
    <col min="13" max="13" width="10.7109375" style="1" customWidth="1"/>
    <col min="14" max="14" width="5.7109375" style="1" customWidth="1"/>
    <col min="15" max="15" width="12.7109375" style="1" customWidth="1"/>
    <col min="16" max="16" width="5" style="1" customWidth="1"/>
    <col min="17" max="22" width="6" style="1" customWidth="1"/>
    <col min="23" max="23" width="12.7109375" style="1" customWidth="1"/>
    <col min="24" max="24" width="4.28515625" style="1" customWidth="1"/>
    <col min="25" max="25" width="11.42578125" style="1" customWidth="1"/>
    <col min="26" max="29" width="9.7109375" style="1" hidden="1" customWidth="1"/>
    <col min="30" max="30" width="10.7109375" style="1" customWidth="1"/>
    <col min="31" max="31" width="5.7109375" style="1" customWidth="1"/>
    <col min="32" max="32" width="12.7109375" style="1" customWidth="1"/>
    <col min="33" max="39" width="6" style="1" customWidth="1"/>
    <col min="40" max="40" width="12.7109375" style="1" customWidth="1"/>
    <col min="41" max="41" width="4.28515625" style="1" customWidth="1"/>
    <col min="42" max="42" width="11.5703125" style="1" customWidth="1"/>
    <col min="43" max="43" width="8.5703125" style="1" hidden="1" customWidth="1"/>
    <col min="44" max="46" width="9.7109375" style="1" hidden="1" customWidth="1"/>
    <col min="47" max="47" width="10.7109375" style="1" customWidth="1"/>
    <col min="48" max="48" width="5.7109375" style="1" customWidth="1"/>
    <col min="49" max="49" width="12.7109375" style="1" customWidth="1"/>
    <col min="50" max="56" width="6" style="1" customWidth="1"/>
    <col min="57" max="57" width="12.7109375" style="1" customWidth="1"/>
    <col min="58" max="58" width="4.28515625" style="1" hidden="1" customWidth="1"/>
    <col min="59" max="63" width="9.7109375" style="1" hidden="1" customWidth="1"/>
    <col min="64" max="64" width="10.7109375" style="1" hidden="1" customWidth="1"/>
    <col min="65" max="65" width="5.7109375" style="1" hidden="1" customWidth="1"/>
    <col min="66" max="66" width="12.7109375" style="1" hidden="1" customWidth="1"/>
    <col min="67" max="73" width="6" style="1" hidden="1" customWidth="1"/>
    <col min="74" max="74" width="12.7109375" style="1" hidden="1" customWidth="1"/>
    <col min="75" max="75" width="5.42578125" style="1" hidden="1" customWidth="1"/>
    <col min="76" max="80" width="9.7109375" style="1" hidden="1" customWidth="1"/>
    <col min="81" max="81" width="10.7109375" style="1" hidden="1" customWidth="1"/>
    <col min="82" max="82" width="5.7109375" style="1" hidden="1" customWidth="1"/>
    <col min="83" max="83" width="12.7109375" style="1" hidden="1" customWidth="1"/>
    <col min="84" max="90" width="6" style="1" hidden="1" customWidth="1"/>
    <col min="91" max="91" width="12.7109375" style="1" hidden="1" customWidth="1"/>
    <col min="92" max="92" width="2.140625" style="1" customWidth="1"/>
    <col min="93" max="93" width="5.28515625" style="1" customWidth="1"/>
    <col min="94" max="94" width="19.42578125" style="1" customWidth="1"/>
    <col min="95" max="95" width="3.28515625" style="1" customWidth="1"/>
    <col min="96" max="96" width="20.85546875" style="1" customWidth="1"/>
    <col min="97" max="97" width="2.85546875" style="1" customWidth="1"/>
    <col min="98" max="98" width="20.85546875" style="1" customWidth="1"/>
    <col min="99" max="16384" width="9.140625" style="1"/>
  </cols>
  <sheetData>
    <row r="1" spans="1:98" ht="34.9" customHeight="1" thickBot="1" x14ac:dyDescent="0.25">
      <c r="A1" s="152"/>
      <c r="B1" s="29"/>
      <c r="C1" s="367" t="s">
        <v>610</v>
      </c>
      <c r="D1" s="368"/>
      <c r="E1" s="369"/>
      <c r="F1" s="363">
        <v>1.0235000000000001</v>
      </c>
      <c r="H1" s="153">
        <v>3</v>
      </c>
      <c r="I1" s="153">
        <v>3</v>
      </c>
      <c r="J1" s="153">
        <v>3</v>
      </c>
      <c r="K1" s="153">
        <v>3</v>
      </c>
      <c r="L1" s="153">
        <v>3</v>
      </c>
      <c r="M1" s="153"/>
      <c r="N1" s="153"/>
      <c r="O1" s="153">
        <v>1</v>
      </c>
      <c r="P1" s="153">
        <v>4</v>
      </c>
      <c r="Q1" s="153">
        <v>4</v>
      </c>
      <c r="R1" s="153">
        <v>4</v>
      </c>
      <c r="S1" s="153">
        <v>4</v>
      </c>
      <c r="T1" s="153">
        <v>4</v>
      </c>
      <c r="U1" s="153">
        <v>4</v>
      </c>
      <c r="V1" s="153"/>
      <c r="W1" s="153">
        <v>2</v>
      </c>
      <c r="Y1" s="153">
        <v>3</v>
      </c>
      <c r="Z1" s="153">
        <v>3</v>
      </c>
      <c r="AA1" s="153">
        <v>3</v>
      </c>
      <c r="AB1" s="153">
        <v>3</v>
      </c>
      <c r="AC1" s="153">
        <v>3</v>
      </c>
      <c r="AD1" s="153"/>
      <c r="AE1" s="153"/>
      <c r="AF1" s="153">
        <v>1</v>
      </c>
      <c r="AG1" s="153">
        <v>4</v>
      </c>
      <c r="AH1" s="153">
        <v>4</v>
      </c>
      <c r="AI1" s="153">
        <v>4</v>
      </c>
      <c r="AJ1" s="153">
        <v>4</v>
      </c>
      <c r="AK1" s="153">
        <v>4</v>
      </c>
      <c r="AL1" s="153">
        <v>4</v>
      </c>
      <c r="AM1" s="153"/>
      <c r="AN1" s="153">
        <v>2</v>
      </c>
      <c r="AP1" s="153">
        <v>3</v>
      </c>
      <c r="AQ1" s="153">
        <v>3</v>
      </c>
      <c r="AR1" s="153">
        <v>3</v>
      </c>
      <c r="AS1" s="153">
        <v>3</v>
      </c>
      <c r="AT1" s="153">
        <v>3</v>
      </c>
      <c r="AU1" s="153"/>
      <c r="AV1" s="153"/>
      <c r="AW1" s="153">
        <v>1</v>
      </c>
      <c r="AX1" s="153">
        <v>4</v>
      </c>
      <c r="AY1" s="153">
        <v>4</v>
      </c>
      <c r="AZ1" s="153">
        <v>4</v>
      </c>
      <c r="BA1" s="153">
        <v>4</v>
      </c>
      <c r="BB1" s="153">
        <v>4</v>
      </c>
      <c r="BC1" s="153">
        <v>4</v>
      </c>
      <c r="BD1" s="153"/>
      <c r="BE1" s="153">
        <v>2</v>
      </c>
      <c r="BG1" s="153">
        <v>3</v>
      </c>
      <c r="BH1" s="153">
        <v>3</v>
      </c>
      <c r="BI1" s="153">
        <v>3</v>
      </c>
      <c r="BJ1" s="153">
        <v>3</v>
      </c>
      <c r="BK1" s="153">
        <v>3</v>
      </c>
      <c r="BL1" s="153"/>
      <c r="BM1" s="153"/>
      <c r="BN1" s="153">
        <v>1</v>
      </c>
      <c r="BO1" s="153">
        <v>4</v>
      </c>
      <c r="BP1" s="153">
        <v>4</v>
      </c>
      <c r="BQ1" s="153">
        <v>4</v>
      </c>
      <c r="BR1" s="153">
        <v>4</v>
      </c>
      <c r="BS1" s="153">
        <v>4</v>
      </c>
      <c r="BT1" s="153">
        <v>4</v>
      </c>
      <c r="BU1" s="153"/>
      <c r="BV1" s="153">
        <v>2</v>
      </c>
      <c r="BX1" s="153">
        <v>3</v>
      </c>
      <c r="BY1" s="153">
        <v>3</v>
      </c>
      <c r="BZ1" s="153">
        <v>3</v>
      </c>
      <c r="CA1" s="153">
        <v>3</v>
      </c>
      <c r="CB1" s="153">
        <v>3</v>
      </c>
      <c r="CC1" s="153"/>
      <c r="CD1" s="153"/>
      <c r="CE1" s="153">
        <v>1</v>
      </c>
      <c r="CF1" s="153">
        <v>4</v>
      </c>
      <c r="CG1" s="153">
        <v>4</v>
      </c>
      <c r="CH1" s="153">
        <v>4</v>
      </c>
      <c r="CI1" s="153">
        <v>4</v>
      </c>
      <c r="CJ1" s="153">
        <v>4</v>
      </c>
      <c r="CK1" s="153">
        <v>4</v>
      </c>
      <c r="CL1" s="153"/>
      <c r="CM1" s="153">
        <v>2</v>
      </c>
      <c r="CN1" s="3"/>
      <c r="CO1" s="3"/>
      <c r="CP1" s="3"/>
      <c r="CQ1" s="3"/>
      <c r="CR1" s="3"/>
      <c r="CT1" s="3"/>
    </row>
    <row r="2" spans="1:98" ht="33" customHeight="1" x14ac:dyDescent="0.2">
      <c r="A2" s="154" t="s">
        <v>11</v>
      </c>
      <c r="B2" s="155" t="s">
        <v>438</v>
      </c>
      <c r="C2" s="426" t="s">
        <v>187</v>
      </c>
      <c r="D2" s="427"/>
      <c r="E2" s="156"/>
      <c r="F2" s="110" t="s">
        <v>14</v>
      </c>
      <c r="H2" s="430" t="s">
        <v>626</v>
      </c>
      <c r="I2" s="431"/>
      <c r="J2" s="431"/>
      <c r="K2" s="431"/>
      <c r="L2" s="432"/>
      <c r="M2" s="445" t="s">
        <v>347</v>
      </c>
      <c r="N2" s="446"/>
      <c r="O2" s="157">
        <v>1</v>
      </c>
      <c r="P2" s="450" t="s">
        <v>549</v>
      </c>
      <c r="Q2" s="450"/>
      <c r="R2" s="450"/>
      <c r="S2" s="450"/>
      <c r="T2" s="450"/>
      <c r="U2" s="450"/>
      <c r="V2" s="450"/>
      <c r="W2" s="158" t="s">
        <v>558</v>
      </c>
      <c r="Y2" s="430" t="s">
        <v>618</v>
      </c>
      <c r="Z2" s="431"/>
      <c r="AA2" s="431"/>
      <c r="AB2" s="431"/>
      <c r="AC2" s="432"/>
      <c r="AD2" s="445" t="s">
        <v>347</v>
      </c>
      <c r="AE2" s="446"/>
      <c r="AF2" s="157">
        <v>2</v>
      </c>
      <c r="AG2" s="450" t="s">
        <v>549</v>
      </c>
      <c r="AH2" s="450"/>
      <c r="AI2" s="450"/>
      <c r="AJ2" s="450"/>
      <c r="AK2" s="450"/>
      <c r="AL2" s="450"/>
      <c r="AM2" s="450"/>
      <c r="AN2" s="158" t="s">
        <v>557</v>
      </c>
      <c r="AP2" s="430" t="s">
        <v>619</v>
      </c>
      <c r="AQ2" s="431"/>
      <c r="AR2" s="431"/>
      <c r="AS2" s="431"/>
      <c r="AT2" s="431"/>
      <c r="AU2" s="445" t="s">
        <v>347</v>
      </c>
      <c r="AV2" s="446"/>
      <c r="AW2" s="157">
        <v>3</v>
      </c>
      <c r="AX2" s="450" t="s">
        <v>549</v>
      </c>
      <c r="AY2" s="450"/>
      <c r="AZ2" s="450"/>
      <c r="BA2" s="450"/>
      <c r="BB2" s="450"/>
      <c r="BC2" s="450"/>
      <c r="BD2" s="450"/>
      <c r="BE2" s="158" t="s">
        <v>556</v>
      </c>
      <c r="BG2" s="430"/>
      <c r="BH2" s="431"/>
      <c r="BI2" s="431"/>
      <c r="BJ2" s="431"/>
      <c r="BK2" s="432"/>
      <c r="BL2" s="445" t="s">
        <v>347</v>
      </c>
      <c r="BM2" s="446"/>
      <c r="BN2" s="157">
        <v>4</v>
      </c>
      <c r="BO2" s="450" t="s">
        <v>549</v>
      </c>
      <c r="BP2" s="450"/>
      <c r="BQ2" s="450"/>
      <c r="BR2" s="450"/>
      <c r="BS2" s="450"/>
      <c r="BT2" s="450"/>
      <c r="BU2" s="450"/>
      <c r="BV2" s="158" t="s">
        <v>555</v>
      </c>
      <c r="BX2" s="430"/>
      <c r="BY2" s="431"/>
      <c r="BZ2" s="431"/>
      <c r="CA2" s="431"/>
      <c r="CB2" s="431"/>
      <c r="CC2" s="445" t="s">
        <v>347</v>
      </c>
      <c r="CD2" s="446"/>
      <c r="CE2" s="157">
        <v>5</v>
      </c>
      <c r="CF2" s="450" t="s">
        <v>549</v>
      </c>
      <c r="CG2" s="450"/>
      <c r="CH2" s="450"/>
      <c r="CI2" s="450"/>
      <c r="CJ2" s="450"/>
      <c r="CK2" s="450"/>
      <c r="CL2" s="450"/>
      <c r="CM2" s="158" t="s">
        <v>554</v>
      </c>
      <c r="CN2" s="30"/>
      <c r="CO2" s="3"/>
      <c r="CP2" s="151" t="s">
        <v>552</v>
      </c>
      <c r="CQ2" s="3"/>
      <c r="CR2" s="151" t="s">
        <v>553</v>
      </c>
      <c r="CT2" s="151" t="s">
        <v>575</v>
      </c>
    </row>
    <row r="3" spans="1:98" s="3" customFormat="1" ht="40.5" customHeight="1" thickBot="1" x14ac:dyDescent="0.25">
      <c r="A3" s="159" t="s">
        <v>615</v>
      </c>
      <c r="B3" s="160">
        <v>2020</v>
      </c>
      <c r="C3" s="428" t="s">
        <v>613</v>
      </c>
      <c r="D3" s="429"/>
      <c r="E3" s="161"/>
      <c r="F3" s="111" t="s">
        <v>8</v>
      </c>
      <c r="G3" s="1"/>
      <c r="H3" s="162" t="s">
        <v>361</v>
      </c>
      <c r="I3" s="163" t="s">
        <v>362</v>
      </c>
      <c r="J3" s="164" t="s">
        <v>363</v>
      </c>
      <c r="K3" s="165" t="s">
        <v>364</v>
      </c>
      <c r="L3" s="326" t="s">
        <v>365</v>
      </c>
      <c r="M3" s="447"/>
      <c r="N3" s="448"/>
      <c r="O3" s="449"/>
      <c r="P3" s="448"/>
      <c r="Q3" s="448"/>
      <c r="R3" s="448"/>
      <c r="S3" s="448"/>
      <c r="T3" s="448"/>
      <c r="U3" s="448"/>
      <c r="V3" s="448"/>
      <c r="W3" s="449"/>
      <c r="X3" s="1"/>
      <c r="Y3" s="162" t="s">
        <v>366</v>
      </c>
      <c r="Z3" s="163" t="s">
        <v>367</v>
      </c>
      <c r="AA3" s="164" t="s">
        <v>368</v>
      </c>
      <c r="AB3" s="165" t="s">
        <v>369</v>
      </c>
      <c r="AC3" s="164" t="s">
        <v>370</v>
      </c>
      <c r="AD3" s="447"/>
      <c r="AE3" s="448"/>
      <c r="AF3" s="449"/>
      <c r="AG3" s="448"/>
      <c r="AH3" s="448"/>
      <c r="AI3" s="448"/>
      <c r="AJ3" s="448"/>
      <c r="AK3" s="448"/>
      <c r="AL3" s="448"/>
      <c r="AM3" s="448"/>
      <c r="AN3" s="449"/>
      <c r="AO3" s="1"/>
      <c r="AP3" s="162" t="s">
        <v>371</v>
      </c>
      <c r="AQ3" s="163" t="s">
        <v>372</v>
      </c>
      <c r="AR3" s="164" t="s">
        <v>373</v>
      </c>
      <c r="AS3" s="165" t="s">
        <v>374</v>
      </c>
      <c r="AT3" s="164" t="s">
        <v>375</v>
      </c>
      <c r="AU3" s="447"/>
      <c r="AV3" s="448"/>
      <c r="AW3" s="449"/>
      <c r="AX3" s="448"/>
      <c r="AY3" s="448"/>
      <c r="AZ3" s="448"/>
      <c r="BA3" s="448"/>
      <c r="BB3" s="448"/>
      <c r="BC3" s="448"/>
      <c r="BD3" s="448"/>
      <c r="BE3" s="449"/>
      <c r="BF3" s="1"/>
      <c r="BG3" s="162" t="s">
        <v>376</v>
      </c>
      <c r="BH3" s="163" t="s">
        <v>377</v>
      </c>
      <c r="BI3" s="164" t="s">
        <v>378</v>
      </c>
      <c r="BJ3" s="165" t="s">
        <v>379</v>
      </c>
      <c r="BK3" s="164" t="s">
        <v>380</v>
      </c>
      <c r="BL3" s="447"/>
      <c r="BM3" s="448"/>
      <c r="BN3" s="449"/>
      <c r="BO3" s="448"/>
      <c r="BP3" s="448"/>
      <c r="BQ3" s="448"/>
      <c r="BR3" s="448"/>
      <c r="BS3" s="448"/>
      <c r="BT3" s="448"/>
      <c r="BU3" s="448"/>
      <c r="BV3" s="449"/>
      <c r="BW3" s="1"/>
      <c r="BX3" s="162" t="s">
        <v>381</v>
      </c>
      <c r="BY3" s="163" t="s">
        <v>382</v>
      </c>
      <c r="BZ3" s="164" t="s">
        <v>383</v>
      </c>
      <c r="CA3" s="165" t="s">
        <v>384</v>
      </c>
      <c r="CB3" s="164" t="s">
        <v>385</v>
      </c>
      <c r="CC3" s="447"/>
      <c r="CD3" s="448"/>
      <c r="CE3" s="449"/>
      <c r="CF3" s="448"/>
      <c r="CG3" s="448"/>
      <c r="CH3" s="448"/>
      <c r="CI3" s="448"/>
      <c r="CJ3" s="448"/>
      <c r="CK3" s="448"/>
      <c r="CL3" s="448"/>
      <c r="CM3" s="449"/>
      <c r="CN3" s="5"/>
      <c r="CO3" s="6"/>
      <c r="CP3" s="7" t="s">
        <v>23</v>
      </c>
      <c r="CR3" s="7" t="s">
        <v>23</v>
      </c>
      <c r="CT3" s="7" t="s">
        <v>23</v>
      </c>
    </row>
    <row r="4" spans="1:98" ht="15" customHeight="1" x14ac:dyDescent="0.2">
      <c r="A4" s="166" t="s">
        <v>12</v>
      </c>
      <c r="B4" s="167" t="s">
        <v>13</v>
      </c>
      <c r="C4" s="168" t="s">
        <v>348</v>
      </c>
      <c r="D4" s="71"/>
      <c r="E4" s="161"/>
      <c r="F4" s="112" t="s">
        <v>6</v>
      </c>
      <c r="H4" s="31">
        <v>118.509</v>
      </c>
      <c r="I4" s="8"/>
      <c r="J4" s="8"/>
      <c r="K4" s="9"/>
      <c r="L4" s="327"/>
      <c r="M4" s="169" t="s">
        <v>349</v>
      </c>
      <c r="N4" s="170" t="s">
        <v>350</v>
      </c>
      <c r="O4" s="171">
        <f>MIN(H4:L4)</f>
        <v>118.509</v>
      </c>
      <c r="P4" s="370" t="s">
        <v>576</v>
      </c>
      <c r="Q4" s="371"/>
      <c r="R4" s="371"/>
      <c r="S4" s="371"/>
      <c r="T4" s="371"/>
      <c r="U4" s="371"/>
      <c r="V4" s="170" t="s">
        <v>350</v>
      </c>
      <c r="W4" s="171">
        <f>O4</f>
        <v>118.509</v>
      </c>
      <c r="Y4" s="31">
        <v>45.573999999999998</v>
      </c>
      <c r="Z4" s="8"/>
      <c r="AA4" s="8"/>
      <c r="AB4" s="9"/>
      <c r="AC4" s="10"/>
      <c r="AD4" s="169" t="s">
        <v>349</v>
      </c>
      <c r="AE4" s="170" t="s">
        <v>350</v>
      </c>
      <c r="AF4" s="171">
        <f>MIN(Y4:AC4)</f>
        <v>45.573999999999998</v>
      </c>
      <c r="AG4" s="370" t="s">
        <v>576</v>
      </c>
      <c r="AH4" s="371"/>
      <c r="AI4" s="371"/>
      <c r="AJ4" s="371"/>
      <c r="AK4" s="371"/>
      <c r="AL4" s="371"/>
      <c r="AM4" s="170" t="s">
        <v>350</v>
      </c>
      <c r="AN4" s="171">
        <f>AF4</f>
        <v>45.573999999999998</v>
      </c>
      <c r="AP4" s="31">
        <v>124.24299999999999</v>
      </c>
      <c r="AQ4" s="8"/>
      <c r="AR4" s="8"/>
      <c r="AS4" s="9"/>
      <c r="AT4" s="10"/>
      <c r="AU4" s="169" t="s">
        <v>349</v>
      </c>
      <c r="AV4" s="170" t="s">
        <v>350</v>
      </c>
      <c r="AW4" s="171">
        <f>MIN(AP4:AT4)</f>
        <v>124.24299999999999</v>
      </c>
      <c r="AX4" s="370" t="s">
        <v>576</v>
      </c>
      <c r="AY4" s="371"/>
      <c r="AZ4" s="371"/>
      <c r="BA4" s="371"/>
      <c r="BB4" s="371"/>
      <c r="BC4" s="371"/>
      <c r="BD4" s="170" t="s">
        <v>350</v>
      </c>
      <c r="BE4" s="171">
        <f>AW4</f>
        <v>124.24299999999999</v>
      </c>
      <c r="BG4" s="31"/>
      <c r="BH4" s="8"/>
      <c r="BI4" s="8"/>
      <c r="BJ4" s="9"/>
      <c r="BK4" s="10"/>
      <c r="BL4" s="169" t="s">
        <v>349</v>
      </c>
      <c r="BM4" s="170" t="s">
        <v>350</v>
      </c>
      <c r="BN4" s="171">
        <f>MIN(BG4:BK4)</f>
        <v>0</v>
      </c>
      <c r="BO4" s="370" t="s">
        <v>576</v>
      </c>
      <c r="BP4" s="371"/>
      <c r="BQ4" s="371"/>
      <c r="BR4" s="371"/>
      <c r="BS4" s="371"/>
      <c r="BT4" s="371"/>
      <c r="BU4" s="170" t="s">
        <v>350</v>
      </c>
      <c r="BV4" s="171">
        <f>BN4</f>
        <v>0</v>
      </c>
      <c r="BX4" s="31"/>
      <c r="BY4" s="8"/>
      <c r="BZ4" s="8"/>
      <c r="CA4" s="9"/>
      <c r="CB4" s="10"/>
      <c r="CC4" s="169" t="s">
        <v>349</v>
      </c>
      <c r="CD4" s="170" t="s">
        <v>350</v>
      </c>
      <c r="CE4" s="171">
        <f>MIN(BX4:CB4)</f>
        <v>0</v>
      </c>
      <c r="CF4" s="370" t="s">
        <v>576</v>
      </c>
      <c r="CG4" s="371"/>
      <c r="CH4" s="371"/>
      <c r="CI4" s="371"/>
      <c r="CJ4" s="371"/>
      <c r="CK4" s="371"/>
      <c r="CL4" s="170" t="s">
        <v>350</v>
      </c>
      <c r="CM4" s="171">
        <f>CE4</f>
        <v>0</v>
      </c>
      <c r="CN4" s="32"/>
      <c r="CO4" s="3"/>
      <c r="CP4" s="33"/>
      <c r="CQ4" s="3"/>
      <c r="CR4" s="33"/>
      <c r="CT4" s="33"/>
    </row>
    <row r="5" spans="1:98" ht="15" customHeight="1" thickBot="1" x14ac:dyDescent="0.25">
      <c r="A5" s="172" t="s">
        <v>616</v>
      </c>
      <c r="B5" s="173" t="s">
        <v>617</v>
      </c>
      <c r="C5" s="174"/>
      <c r="D5" s="72"/>
      <c r="E5" s="142"/>
      <c r="F5" s="113" t="s">
        <v>7</v>
      </c>
      <c r="H5" s="34">
        <v>121.104</v>
      </c>
      <c r="I5" s="11"/>
      <c r="J5" s="11"/>
      <c r="K5" s="12"/>
      <c r="L5" s="328"/>
      <c r="M5" s="175"/>
      <c r="N5" s="176" t="s">
        <v>351</v>
      </c>
      <c r="O5" s="177">
        <f>MAX(H5:L5)</f>
        <v>121.104</v>
      </c>
      <c r="P5" s="366">
        <v>2</v>
      </c>
      <c r="Q5" s="361">
        <v>1</v>
      </c>
      <c r="R5" s="361">
        <v>5</v>
      </c>
      <c r="S5" s="361">
        <v>5</v>
      </c>
      <c r="T5" s="361">
        <v>2</v>
      </c>
      <c r="U5" s="361">
        <v>2</v>
      </c>
      <c r="V5" s="170" t="s">
        <v>351</v>
      </c>
      <c r="W5" s="177">
        <f>O5</f>
        <v>121.104</v>
      </c>
      <c r="Y5" s="34">
        <v>47.378</v>
      </c>
      <c r="Z5" s="11"/>
      <c r="AA5" s="11"/>
      <c r="AB5" s="12"/>
      <c r="AC5" s="13"/>
      <c r="AD5" s="175"/>
      <c r="AE5" s="176" t="s">
        <v>351</v>
      </c>
      <c r="AF5" s="177">
        <f>MAX(Y5:AC5)</f>
        <v>47.378</v>
      </c>
      <c r="AG5" s="366">
        <v>2</v>
      </c>
      <c r="AH5" s="361">
        <v>1</v>
      </c>
      <c r="AI5" s="361">
        <v>5</v>
      </c>
      <c r="AJ5" s="361">
        <v>5</v>
      </c>
      <c r="AK5" s="361">
        <v>2</v>
      </c>
      <c r="AL5" s="361">
        <v>2</v>
      </c>
      <c r="AM5" s="170" t="s">
        <v>351</v>
      </c>
      <c r="AN5" s="177">
        <f>AF5</f>
        <v>47.378</v>
      </c>
      <c r="AP5" s="34">
        <v>125.294</v>
      </c>
      <c r="AQ5" s="11"/>
      <c r="AR5" s="11"/>
      <c r="AS5" s="12"/>
      <c r="AT5" s="13"/>
      <c r="AU5" s="175"/>
      <c r="AV5" s="176" t="s">
        <v>351</v>
      </c>
      <c r="AW5" s="177">
        <f>MAX(AP5:AT5)</f>
        <v>125.294</v>
      </c>
      <c r="AX5" s="366">
        <v>2</v>
      </c>
      <c r="AY5" s="361">
        <v>1</v>
      </c>
      <c r="AZ5" s="361">
        <v>5</v>
      </c>
      <c r="BA5" s="361">
        <v>5</v>
      </c>
      <c r="BB5" s="361">
        <v>2</v>
      </c>
      <c r="BC5" s="361">
        <v>2</v>
      </c>
      <c r="BD5" s="170" t="s">
        <v>351</v>
      </c>
      <c r="BE5" s="177">
        <f>AW5</f>
        <v>125.294</v>
      </c>
      <c r="BG5" s="34"/>
      <c r="BH5" s="11"/>
      <c r="BI5" s="11"/>
      <c r="BJ5" s="12"/>
      <c r="BK5" s="13"/>
      <c r="BL5" s="175"/>
      <c r="BM5" s="176" t="s">
        <v>351</v>
      </c>
      <c r="BN5" s="360">
        <f>MAX(BG5:BK5)</f>
        <v>0</v>
      </c>
      <c r="BO5" s="361">
        <v>5</v>
      </c>
      <c r="BP5" s="361">
        <v>5</v>
      </c>
      <c r="BQ5" s="361">
        <v>5</v>
      </c>
      <c r="BR5" s="361">
        <f>IF($S$5="","",$S$5)</f>
        <v>5</v>
      </c>
      <c r="BS5" s="361">
        <f>IF($T$5="","",$T$5)</f>
        <v>2</v>
      </c>
      <c r="BT5" s="361">
        <f>IF($U$5="","",$U$5)</f>
        <v>2</v>
      </c>
      <c r="BU5" s="170" t="s">
        <v>351</v>
      </c>
      <c r="BV5" s="177">
        <f>BN5</f>
        <v>0</v>
      </c>
      <c r="BX5" s="34"/>
      <c r="BY5" s="11"/>
      <c r="BZ5" s="11"/>
      <c r="CA5" s="12"/>
      <c r="CB5" s="13"/>
      <c r="CC5" s="175"/>
      <c r="CD5" s="176" t="s">
        <v>351</v>
      </c>
      <c r="CE5" s="360">
        <f>MAX(BX5:CB5)</f>
        <v>0</v>
      </c>
      <c r="CF5" s="361">
        <v>5</v>
      </c>
      <c r="CG5" s="361">
        <v>5</v>
      </c>
      <c r="CH5" s="361">
        <v>5</v>
      </c>
      <c r="CI5" s="361">
        <f>IF($S$5="","",$S$5)</f>
        <v>5</v>
      </c>
      <c r="CJ5" s="361">
        <f>IF($T$5="","",$T$5)</f>
        <v>2</v>
      </c>
      <c r="CK5" s="361">
        <f>IF($U$5="","",$U$5)</f>
        <v>2</v>
      </c>
      <c r="CL5" s="170" t="s">
        <v>351</v>
      </c>
      <c r="CM5" s="177">
        <f>CE5</f>
        <v>0</v>
      </c>
      <c r="CN5" s="32"/>
      <c r="CO5" s="3"/>
      <c r="CP5" s="35"/>
      <c r="CQ5" s="3"/>
      <c r="CR5" s="35"/>
      <c r="CT5" s="35"/>
    </row>
    <row r="6" spans="1:98" ht="15" customHeight="1" thickBot="1" x14ac:dyDescent="0.25">
      <c r="A6" s="178" t="s">
        <v>16</v>
      </c>
      <c r="B6" s="179" t="s">
        <v>386</v>
      </c>
      <c r="C6" s="180" t="s">
        <v>155</v>
      </c>
      <c r="D6" s="181" t="s">
        <v>50</v>
      </c>
      <c r="E6" s="180" t="s">
        <v>0</v>
      </c>
      <c r="F6" s="182" t="s">
        <v>1</v>
      </c>
      <c r="H6" s="333">
        <f>ABS(H5-H4)</f>
        <v>2.5949999999999989</v>
      </c>
      <c r="I6" s="334">
        <f>ABS(I5-I4)</f>
        <v>0</v>
      </c>
      <c r="J6" s="334">
        <f>ABS(J5-J4)</f>
        <v>0</v>
      </c>
      <c r="K6" s="334">
        <f>ABS(K5-K4)</f>
        <v>0</v>
      </c>
      <c r="L6" s="335">
        <f>ABS(L5-L4)</f>
        <v>0</v>
      </c>
      <c r="M6" s="183" t="s">
        <v>9</v>
      </c>
      <c r="N6" s="184" t="s">
        <v>330</v>
      </c>
      <c r="O6" s="185" t="s">
        <v>10</v>
      </c>
      <c r="P6" s="186" t="s">
        <v>559</v>
      </c>
      <c r="Q6" s="186" t="s">
        <v>560</v>
      </c>
      <c r="R6" s="186" t="s">
        <v>561</v>
      </c>
      <c r="S6" s="186" t="s">
        <v>562</v>
      </c>
      <c r="T6" s="186" t="s">
        <v>563</v>
      </c>
      <c r="U6" s="186" t="s">
        <v>564</v>
      </c>
      <c r="V6" s="296" t="s">
        <v>565</v>
      </c>
      <c r="W6" s="187" t="s">
        <v>10</v>
      </c>
      <c r="Y6" s="333">
        <f>ABS(Y5-Y4)</f>
        <v>1.804000000000002</v>
      </c>
      <c r="Z6" s="334">
        <f>ABS(Z5-Z4)</f>
        <v>0</v>
      </c>
      <c r="AA6" s="334">
        <f>ABS(AA5-AA4)</f>
        <v>0</v>
      </c>
      <c r="AB6" s="334">
        <f>ABS(AB5-AB4)</f>
        <v>0</v>
      </c>
      <c r="AC6" s="335">
        <f>ABS(AC5-AC4)</f>
        <v>0</v>
      </c>
      <c r="AD6" s="188" t="s">
        <v>9</v>
      </c>
      <c r="AE6" s="189" t="s">
        <v>330</v>
      </c>
      <c r="AF6" s="187" t="s">
        <v>10</v>
      </c>
      <c r="AG6" s="186" t="s">
        <v>559</v>
      </c>
      <c r="AH6" s="186" t="s">
        <v>560</v>
      </c>
      <c r="AI6" s="186" t="s">
        <v>561</v>
      </c>
      <c r="AJ6" s="186" t="s">
        <v>562</v>
      </c>
      <c r="AK6" s="186" t="s">
        <v>563</v>
      </c>
      <c r="AL6" s="186" t="s">
        <v>564</v>
      </c>
      <c r="AM6" s="296" t="s">
        <v>565</v>
      </c>
      <c r="AN6" s="187" t="s">
        <v>10</v>
      </c>
      <c r="AP6" s="333">
        <f>ABS(AP5-AP4)</f>
        <v>1.0510000000000019</v>
      </c>
      <c r="AQ6" s="334">
        <f>ABS(AQ5-AQ4)</f>
        <v>0</v>
      </c>
      <c r="AR6" s="334">
        <f>ABS(AR5-AR4)</f>
        <v>0</v>
      </c>
      <c r="AS6" s="334">
        <f>ABS(AS5-AS4)</f>
        <v>0</v>
      </c>
      <c r="AT6" s="335">
        <f>ABS(AT5-AT4)</f>
        <v>0</v>
      </c>
      <c r="AU6" s="188" t="s">
        <v>9</v>
      </c>
      <c r="AV6" s="189" t="s">
        <v>330</v>
      </c>
      <c r="AW6" s="187" t="s">
        <v>10</v>
      </c>
      <c r="AX6" s="186" t="s">
        <v>559</v>
      </c>
      <c r="AY6" s="186" t="s">
        <v>560</v>
      </c>
      <c r="AZ6" s="186" t="s">
        <v>561</v>
      </c>
      <c r="BA6" s="186" t="s">
        <v>562</v>
      </c>
      <c r="BB6" s="186" t="s">
        <v>563</v>
      </c>
      <c r="BC6" s="186" t="s">
        <v>564</v>
      </c>
      <c r="BD6" s="296" t="s">
        <v>565</v>
      </c>
      <c r="BE6" s="187" t="s">
        <v>10</v>
      </c>
      <c r="BG6" s="333">
        <f>ABS(BG5-BG4)</f>
        <v>0</v>
      </c>
      <c r="BH6" s="334">
        <f>ABS(BH5-BH4)</f>
        <v>0</v>
      </c>
      <c r="BI6" s="334">
        <f>ABS(BI5-BI4)</f>
        <v>0</v>
      </c>
      <c r="BJ6" s="334">
        <f>ABS(BJ5-BJ4)</f>
        <v>0</v>
      </c>
      <c r="BK6" s="335">
        <f>ABS(BK5-BK4)</f>
        <v>0</v>
      </c>
      <c r="BL6" s="188" t="s">
        <v>9</v>
      </c>
      <c r="BM6" s="189" t="s">
        <v>330</v>
      </c>
      <c r="BN6" s="187" t="s">
        <v>10</v>
      </c>
      <c r="BO6" s="186" t="s">
        <v>559</v>
      </c>
      <c r="BP6" s="186" t="s">
        <v>560</v>
      </c>
      <c r="BQ6" s="186" t="s">
        <v>561</v>
      </c>
      <c r="BR6" s="186" t="s">
        <v>562</v>
      </c>
      <c r="BS6" s="186" t="s">
        <v>563</v>
      </c>
      <c r="BT6" s="186" t="s">
        <v>564</v>
      </c>
      <c r="BU6" s="296" t="s">
        <v>565</v>
      </c>
      <c r="BV6" s="187" t="s">
        <v>10</v>
      </c>
      <c r="BX6" s="333">
        <f>ABS(BX5-BX4)</f>
        <v>0</v>
      </c>
      <c r="BY6" s="334">
        <f>ABS(BY5-BY4)</f>
        <v>0</v>
      </c>
      <c r="BZ6" s="334">
        <f>ABS(BZ5-BZ4)</f>
        <v>0</v>
      </c>
      <c r="CA6" s="334">
        <f>ABS(CA5-CA4)</f>
        <v>0</v>
      </c>
      <c r="CB6" s="335">
        <f>ABS(CB5-CB4)</f>
        <v>0</v>
      </c>
      <c r="CC6" s="188" t="s">
        <v>9</v>
      </c>
      <c r="CD6" s="189" t="s">
        <v>330</v>
      </c>
      <c r="CE6" s="187" t="s">
        <v>10</v>
      </c>
      <c r="CF6" s="186" t="s">
        <v>559</v>
      </c>
      <c r="CG6" s="186" t="s">
        <v>560</v>
      </c>
      <c r="CH6" s="186" t="s">
        <v>561</v>
      </c>
      <c r="CI6" s="186" t="s">
        <v>562</v>
      </c>
      <c r="CJ6" s="186" t="s">
        <v>563</v>
      </c>
      <c r="CK6" s="186" t="s">
        <v>564</v>
      </c>
      <c r="CL6" s="296" t="s">
        <v>565</v>
      </c>
      <c r="CM6" s="187" t="s">
        <v>10</v>
      </c>
      <c r="CN6" s="36"/>
      <c r="CO6" s="3"/>
      <c r="CP6" s="140" t="s">
        <v>10</v>
      </c>
      <c r="CQ6" s="3"/>
      <c r="CR6" s="140" t="s">
        <v>10</v>
      </c>
      <c r="CT6" s="140"/>
    </row>
    <row r="7" spans="1:98" ht="15" customHeight="1" x14ac:dyDescent="0.2">
      <c r="A7" s="382" t="s">
        <v>403</v>
      </c>
      <c r="B7" s="441" t="s">
        <v>292</v>
      </c>
      <c r="C7" s="190" t="s">
        <v>134</v>
      </c>
      <c r="D7" s="191" t="s">
        <v>285</v>
      </c>
      <c r="E7" s="190" t="s">
        <v>47</v>
      </c>
      <c r="F7" s="300">
        <f>F1*(6.95*(1.014*1.012*1.015)*1.1/1.18)*1.028</f>
        <v>7.1000425897360282</v>
      </c>
      <c r="H7" s="41"/>
      <c r="I7" s="46"/>
      <c r="J7" s="46"/>
      <c r="K7" s="46"/>
      <c r="L7" s="329"/>
      <c r="M7" s="192">
        <f>SUM(H7:L7)</f>
        <v>0</v>
      </c>
      <c r="N7" s="193">
        <v>1</v>
      </c>
      <c r="O7" s="194">
        <f t="shared" ref="O7:O21" si="0">$F7*M7*N7</f>
        <v>0</v>
      </c>
      <c r="P7" s="378">
        <f>VLOOKUP(P5,'Databaze rizik'!$K$2:$Z$6,2,FALSE)/100+1</f>
        <v>1.08</v>
      </c>
      <c r="Q7" s="375">
        <f>VLOOKUP(Q5,'Databaze rizik'!$K$21:$Z$25,2,FALSE)/100+1</f>
        <v>1.17</v>
      </c>
      <c r="R7" s="375">
        <f>VLOOKUP(R5,'Databaze rizik'!$K$41:$Z$45,2,FALSE)/100+1</f>
        <v>1</v>
      </c>
      <c r="S7" s="375">
        <f>VLOOKUP(S5,'Databaze rizik'!$K$61:$Z$66,2,FALSE)/100+1</f>
        <v>1.02</v>
      </c>
      <c r="T7" s="375">
        <f>VLOOKUP(T5,'Databaze rizik'!$K$81:$Z$85,2,FALSE)/100+1</f>
        <v>1.04</v>
      </c>
      <c r="U7" s="375">
        <f>VLOOKUP(U5,'Databaze rizik'!$K$101:$Z$105,2,FALSE)/100+1</f>
        <v>1.01</v>
      </c>
      <c r="V7" s="372">
        <f>P7*Q7*R7*S7*T7*U7</f>
        <v>1.3538311488000001</v>
      </c>
      <c r="W7" s="194">
        <f t="shared" ref="W7:W23" si="1">O7*V$7</f>
        <v>0</v>
      </c>
      <c r="Y7" s="41"/>
      <c r="Z7" s="46"/>
      <c r="AA7" s="46"/>
      <c r="AB7" s="46"/>
      <c r="AC7" s="47"/>
      <c r="AD7" s="192">
        <f>SUM(Y7:AC7)</f>
        <v>0</v>
      </c>
      <c r="AE7" s="193">
        <v>1</v>
      </c>
      <c r="AF7" s="194">
        <f t="shared" ref="AF7:AF21" si="2">$F7*AD7*AE7</f>
        <v>0</v>
      </c>
      <c r="AG7" s="378">
        <f>VLOOKUP(AG5,'Databaze rizik'!$K$2:$Z$6,2,FALSE)/100+1</f>
        <v>1.08</v>
      </c>
      <c r="AH7" s="375">
        <f>VLOOKUP(AH5,'Databaze rizik'!$K$21:$Z$25,2,FALSE)/100+1</f>
        <v>1.17</v>
      </c>
      <c r="AI7" s="375">
        <f>VLOOKUP(AI5,'Databaze rizik'!$K$41:$Z$45,2,FALSE)/100+1</f>
        <v>1</v>
      </c>
      <c r="AJ7" s="375">
        <f>VLOOKUP(AJ5,'Databaze rizik'!$K$61:$Z$66,2,FALSE)/100+1</f>
        <v>1.02</v>
      </c>
      <c r="AK7" s="375">
        <f>VLOOKUP(AK5,'Databaze rizik'!$K$81:$Z$85,2,FALSE)/100+1</f>
        <v>1.04</v>
      </c>
      <c r="AL7" s="375">
        <f>VLOOKUP(AL5,'Databaze rizik'!$K$101:$Z$105,2,FALSE)/100+1</f>
        <v>1.01</v>
      </c>
      <c r="AM7" s="372">
        <f>AG7*AH7*AI7*AJ7*AK7*AL7</f>
        <v>1.3538311488000001</v>
      </c>
      <c r="AN7" s="194">
        <f t="shared" ref="AN7:AN23" si="3">AF7*AM$7</f>
        <v>0</v>
      </c>
      <c r="AP7" s="41"/>
      <c r="AQ7" s="46"/>
      <c r="AR7" s="46"/>
      <c r="AS7" s="46"/>
      <c r="AT7" s="47"/>
      <c r="AU7" s="192">
        <f>SUM(AP7:AT7)</f>
        <v>0</v>
      </c>
      <c r="AV7" s="193">
        <v>1</v>
      </c>
      <c r="AW7" s="194">
        <f t="shared" ref="AW7:AW21" si="4">$F7*AU7*AV7</f>
        <v>0</v>
      </c>
      <c r="AX7" s="378">
        <f>VLOOKUP(AX5,'Databaze rizik'!$K$2:$Z$6,2,FALSE)/100+1</f>
        <v>1.08</v>
      </c>
      <c r="AY7" s="375">
        <f>VLOOKUP(AY5,'Databaze rizik'!$K$21:$Z$25,2,FALSE)/100+1</f>
        <v>1.17</v>
      </c>
      <c r="AZ7" s="375">
        <f>VLOOKUP(AZ5,'Databaze rizik'!$K$41:$Z$45,2,FALSE)/100+1</f>
        <v>1</v>
      </c>
      <c r="BA7" s="375">
        <f>VLOOKUP(BA5,'Databaze rizik'!$K$61:$Z$66,2,FALSE)/100+1</f>
        <v>1.02</v>
      </c>
      <c r="BB7" s="375">
        <f>VLOOKUP(BB5,'Databaze rizik'!$K$81:$Z$85,2,FALSE)/100+1</f>
        <v>1.04</v>
      </c>
      <c r="BC7" s="375">
        <f>VLOOKUP(BC5,'Databaze rizik'!$K$101:$Z$105,2,FALSE)/100+1</f>
        <v>1.01</v>
      </c>
      <c r="BD7" s="372">
        <f>AX7*AY7*AZ7*BA7*BB7*BC7</f>
        <v>1.3538311488000001</v>
      </c>
      <c r="BE7" s="194">
        <f t="shared" ref="BE7:BE23" si="5">AW7*BD$7</f>
        <v>0</v>
      </c>
      <c r="BG7" s="41"/>
      <c r="BH7" s="46"/>
      <c r="BI7" s="46"/>
      <c r="BJ7" s="46"/>
      <c r="BK7" s="47"/>
      <c r="BL7" s="192">
        <f>SUM(BG7:BK7)</f>
        <v>0</v>
      </c>
      <c r="BM7" s="193">
        <v>1</v>
      </c>
      <c r="BN7" s="194">
        <f t="shared" ref="BN7:BN21" si="6">$F7*BL7*BM7</f>
        <v>0</v>
      </c>
      <c r="BO7" s="378">
        <f>VLOOKUP(BO5,'Databaze rizik'!$K$2:$Z$6,2,FALSE)/100+1</f>
        <v>1</v>
      </c>
      <c r="BP7" s="375">
        <f>VLOOKUP(BP5,'Databaze rizik'!$K$21:$Z$25,2,FALSE)/100+1</f>
        <v>1</v>
      </c>
      <c r="BQ7" s="375">
        <f>VLOOKUP(BQ5,'Databaze rizik'!$K$41:$Z$45,2,FALSE)/100+1</f>
        <v>1</v>
      </c>
      <c r="BR7" s="375">
        <f>VLOOKUP(BR5,'Databaze rizik'!$K$61:$Z$66,2,FALSE)/100+1</f>
        <v>1.02</v>
      </c>
      <c r="BS7" s="375">
        <f>VLOOKUP(BS5,'Databaze rizik'!$K$81:$Z$85,2,FALSE)/100+1</f>
        <v>1.04</v>
      </c>
      <c r="BT7" s="375">
        <f>VLOOKUP(BT5,'Databaze rizik'!$K$101:$Z$105,2,FALSE)/100+1</f>
        <v>1.01</v>
      </c>
      <c r="BU7" s="372">
        <f>BO7*BP7*BQ7*BR7*BS7*BT7</f>
        <v>1.0714079999999999</v>
      </c>
      <c r="BV7" s="194">
        <f t="shared" ref="BV7:BV23" si="7">BN7*BU$7</f>
        <v>0</v>
      </c>
      <c r="BX7" s="41"/>
      <c r="BY7" s="46"/>
      <c r="BZ7" s="46"/>
      <c r="CA7" s="46"/>
      <c r="CB7" s="47"/>
      <c r="CC7" s="192">
        <f>SUM(BX7:CB7)</f>
        <v>0</v>
      </c>
      <c r="CD7" s="193">
        <v>1</v>
      </c>
      <c r="CE7" s="194">
        <f t="shared" ref="CE7:CE21" si="8">$F7*CC7*CD7</f>
        <v>0</v>
      </c>
      <c r="CF7" s="378">
        <f>VLOOKUP(CF5,'Databaze rizik'!$K$2:$Z$6,2,FALSE)/100+1</f>
        <v>1</v>
      </c>
      <c r="CG7" s="375">
        <f>VLOOKUP(CG5,'Databaze rizik'!$K$21:$Z$25,2,FALSE)/100+1</f>
        <v>1</v>
      </c>
      <c r="CH7" s="375">
        <f>VLOOKUP(CH5,'Databaze rizik'!$K$41:$Z$45,2,FALSE)/100+1</f>
        <v>1</v>
      </c>
      <c r="CI7" s="375">
        <f>VLOOKUP(CI5,'Databaze rizik'!$K$61:$Z$66,2,FALSE)/100+1</f>
        <v>1.02</v>
      </c>
      <c r="CJ7" s="375">
        <f>VLOOKUP(CJ5,'Databaze rizik'!$K$81:$Z$85,2,FALSE)/100+1</f>
        <v>1.04</v>
      </c>
      <c r="CK7" s="375">
        <f>VLOOKUP(CK5,'Databaze rizik'!$K$101:$Z$105,2,FALSE)/100+1</f>
        <v>1.01</v>
      </c>
      <c r="CL7" s="372">
        <f>CF7*CG7*CH7*CI7*CJ7*CK7</f>
        <v>1.0714079999999999</v>
      </c>
      <c r="CM7" s="194">
        <f>CE7*CL$7</f>
        <v>0</v>
      </c>
      <c r="CN7" s="39"/>
      <c r="CO7" s="3"/>
      <c r="CP7" s="143">
        <f>SUMIF(H$1:CM$1,1,H7:CM7)</f>
        <v>0</v>
      </c>
      <c r="CQ7" s="3"/>
      <c r="CR7" s="143">
        <f>SUMIF(H$1:CM$1,2,H7:CM7)</f>
        <v>0</v>
      </c>
      <c r="CT7" s="143">
        <f>SUMIF(H$1:CM$1,3,H7:CM7)</f>
        <v>0</v>
      </c>
    </row>
    <row r="8" spans="1:98" ht="15" customHeight="1" x14ac:dyDescent="0.2">
      <c r="A8" s="382"/>
      <c r="B8" s="441"/>
      <c r="C8" s="196" t="s">
        <v>135</v>
      </c>
      <c r="D8" s="197" t="s">
        <v>286</v>
      </c>
      <c r="E8" s="196" t="s">
        <v>47</v>
      </c>
      <c r="F8" s="301">
        <f>F1*(6.2*(1.014*1.012*1.015)*1.1/1.18)*1.028</f>
        <v>6.3338509433616377</v>
      </c>
      <c r="H8" s="43"/>
      <c r="I8" s="24"/>
      <c r="J8" s="24"/>
      <c r="K8" s="24"/>
      <c r="L8" s="330"/>
      <c r="M8" s="114">
        <f t="shared" ref="M8:M17" si="9">SUM(H8:L8)</f>
        <v>0</v>
      </c>
      <c r="N8" s="198">
        <v>1</v>
      </c>
      <c r="O8" s="199">
        <f t="shared" si="0"/>
        <v>0</v>
      </c>
      <c r="P8" s="379"/>
      <c r="Q8" s="376"/>
      <c r="R8" s="376"/>
      <c r="S8" s="376"/>
      <c r="T8" s="376"/>
      <c r="U8" s="376"/>
      <c r="V8" s="373"/>
      <c r="W8" s="199">
        <f t="shared" si="1"/>
        <v>0</v>
      </c>
      <c r="Y8" s="43"/>
      <c r="Z8" s="24"/>
      <c r="AA8" s="24"/>
      <c r="AB8" s="24"/>
      <c r="AC8" s="25"/>
      <c r="AD8" s="114">
        <f t="shared" ref="AD8:AD21" si="10">SUM(Y8:AC8)</f>
        <v>0</v>
      </c>
      <c r="AE8" s="198">
        <v>1</v>
      </c>
      <c r="AF8" s="199">
        <f t="shared" si="2"/>
        <v>0</v>
      </c>
      <c r="AG8" s="379"/>
      <c r="AH8" s="376"/>
      <c r="AI8" s="376"/>
      <c r="AJ8" s="376"/>
      <c r="AK8" s="376"/>
      <c r="AL8" s="376"/>
      <c r="AM8" s="373"/>
      <c r="AN8" s="199">
        <f t="shared" si="3"/>
        <v>0</v>
      </c>
      <c r="AP8" s="43"/>
      <c r="AQ8" s="24"/>
      <c r="AR8" s="24"/>
      <c r="AS8" s="24"/>
      <c r="AT8" s="25"/>
      <c r="AU8" s="114">
        <f t="shared" ref="AU8:AU21" si="11">SUM(AP8:AT8)</f>
        <v>0</v>
      </c>
      <c r="AV8" s="198">
        <v>1</v>
      </c>
      <c r="AW8" s="199">
        <f t="shared" si="4"/>
        <v>0</v>
      </c>
      <c r="AX8" s="379"/>
      <c r="AY8" s="376"/>
      <c r="AZ8" s="376"/>
      <c r="BA8" s="376"/>
      <c r="BB8" s="376"/>
      <c r="BC8" s="376"/>
      <c r="BD8" s="373"/>
      <c r="BE8" s="199">
        <f t="shared" si="5"/>
        <v>0</v>
      </c>
      <c r="BG8" s="43"/>
      <c r="BH8" s="24"/>
      <c r="BI8" s="24"/>
      <c r="BJ8" s="24"/>
      <c r="BK8" s="25"/>
      <c r="BL8" s="114">
        <f t="shared" ref="BL8:BL21" si="12">SUM(BG8:BK8)</f>
        <v>0</v>
      </c>
      <c r="BM8" s="198">
        <v>1</v>
      </c>
      <c r="BN8" s="199">
        <f t="shared" si="6"/>
        <v>0</v>
      </c>
      <c r="BO8" s="379"/>
      <c r="BP8" s="376"/>
      <c r="BQ8" s="376"/>
      <c r="BR8" s="376"/>
      <c r="BS8" s="376"/>
      <c r="BT8" s="376"/>
      <c r="BU8" s="373"/>
      <c r="BV8" s="199">
        <f t="shared" si="7"/>
        <v>0</v>
      </c>
      <c r="BX8" s="43"/>
      <c r="BY8" s="24"/>
      <c r="BZ8" s="24"/>
      <c r="CA8" s="24"/>
      <c r="CB8" s="25"/>
      <c r="CC8" s="114">
        <f t="shared" ref="CC8:CC21" si="13">SUM(BX8:CB8)</f>
        <v>0</v>
      </c>
      <c r="CD8" s="198">
        <v>1</v>
      </c>
      <c r="CE8" s="199">
        <f t="shared" si="8"/>
        <v>0</v>
      </c>
      <c r="CF8" s="379"/>
      <c r="CG8" s="376"/>
      <c r="CH8" s="376"/>
      <c r="CI8" s="376"/>
      <c r="CJ8" s="376"/>
      <c r="CK8" s="376"/>
      <c r="CL8" s="373"/>
      <c r="CM8" s="199">
        <f t="shared" ref="CM8:CM23" si="14">CE8*CL$7</f>
        <v>0</v>
      </c>
      <c r="CN8" s="39"/>
      <c r="CO8" s="3"/>
      <c r="CP8" s="137">
        <f t="shared" ref="CP8:CP23" si="15">SUMIF(H$1:CM$1,1,H8:CM8)</f>
        <v>0</v>
      </c>
      <c r="CQ8" s="3"/>
      <c r="CR8" s="137">
        <f t="shared" ref="CR8:CR23" si="16">SUMIF(H$1:CM$1,2,H8:CM8)</f>
        <v>0</v>
      </c>
      <c r="CT8" s="137">
        <f t="shared" ref="CT8:CT71" si="17">SUMIF(H$1:CM$1,3,H8:CM8)</f>
        <v>0</v>
      </c>
    </row>
    <row r="9" spans="1:98" ht="15" customHeight="1" x14ac:dyDescent="0.2">
      <c r="A9" s="382"/>
      <c r="B9" s="441"/>
      <c r="C9" s="196" t="s">
        <v>136</v>
      </c>
      <c r="D9" s="197" t="s">
        <v>287</v>
      </c>
      <c r="E9" s="196" t="s">
        <v>47</v>
      </c>
      <c r="F9" s="301">
        <f>F1*(5.5*(1.014*1.012*1.015)*1.1/1.18)*1.028</f>
        <v>5.6187387400788715</v>
      </c>
      <c r="H9" s="43"/>
      <c r="I9" s="24"/>
      <c r="J9" s="24"/>
      <c r="K9" s="24"/>
      <c r="L9" s="330"/>
      <c r="M9" s="114">
        <f t="shared" si="9"/>
        <v>0</v>
      </c>
      <c r="N9" s="198">
        <v>1</v>
      </c>
      <c r="O9" s="199">
        <f t="shared" si="0"/>
        <v>0</v>
      </c>
      <c r="P9" s="379"/>
      <c r="Q9" s="376"/>
      <c r="R9" s="376"/>
      <c r="S9" s="376"/>
      <c r="T9" s="376"/>
      <c r="U9" s="376"/>
      <c r="V9" s="373"/>
      <c r="W9" s="199">
        <f t="shared" si="1"/>
        <v>0</v>
      </c>
      <c r="Y9" s="43"/>
      <c r="Z9" s="24"/>
      <c r="AA9" s="24"/>
      <c r="AB9" s="24"/>
      <c r="AC9" s="25"/>
      <c r="AD9" s="114">
        <f t="shared" si="10"/>
        <v>0</v>
      </c>
      <c r="AE9" s="198">
        <v>1</v>
      </c>
      <c r="AF9" s="199">
        <f t="shared" si="2"/>
        <v>0</v>
      </c>
      <c r="AG9" s="379"/>
      <c r="AH9" s="376"/>
      <c r="AI9" s="376"/>
      <c r="AJ9" s="376"/>
      <c r="AK9" s="376"/>
      <c r="AL9" s="376"/>
      <c r="AM9" s="373"/>
      <c r="AN9" s="199">
        <f t="shared" si="3"/>
        <v>0</v>
      </c>
      <c r="AP9" s="43"/>
      <c r="AQ9" s="24"/>
      <c r="AR9" s="24"/>
      <c r="AS9" s="24"/>
      <c r="AT9" s="25"/>
      <c r="AU9" s="114">
        <f t="shared" si="11"/>
        <v>0</v>
      </c>
      <c r="AV9" s="198">
        <v>1</v>
      </c>
      <c r="AW9" s="199">
        <f t="shared" si="4"/>
        <v>0</v>
      </c>
      <c r="AX9" s="379"/>
      <c r="AY9" s="376"/>
      <c r="AZ9" s="376"/>
      <c r="BA9" s="376"/>
      <c r="BB9" s="376"/>
      <c r="BC9" s="376"/>
      <c r="BD9" s="373"/>
      <c r="BE9" s="199">
        <f t="shared" si="5"/>
        <v>0</v>
      </c>
      <c r="BG9" s="43"/>
      <c r="BH9" s="24"/>
      <c r="BI9" s="24"/>
      <c r="BJ9" s="24"/>
      <c r="BK9" s="25"/>
      <c r="BL9" s="114">
        <f t="shared" si="12"/>
        <v>0</v>
      </c>
      <c r="BM9" s="198">
        <v>1</v>
      </c>
      <c r="BN9" s="199">
        <f t="shared" si="6"/>
        <v>0</v>
      </c>
      <c r="BO9" s="379"/>
      <c r="BP9" s="376"/>
      <c r="BQ9" s="376"/>
      <c r="BR9" s="376"/>
      <c r="BS9" s="376"/>
      <c r="BT9" s="376"/>
      <c r="BU9" s="373"/>
      <c r="BV9" s="199">
        <f t="shared" si="7"/>
        <v>0</v>
      </c>
      <c r="BX9" s="43"/>
      <c r="BY9" s="24"/>
      <c r="BZ9" s="24"/>
      <c r="CA9" s="24"/>
      <c r="CB9" s="25"/>
      <c r="CC9" s="114">
        <f t="shared" si="13"/>
        <v>0</v>
      </c>
      <c r="CD9" s="198">
        <v>1</v>
      </c>
      <c r="CE9" s="199">
        <f t="shared" si="8"/>
        <v>0</v>
      </c>
      <c r="CF9" s="379"/>
      <c r="CG9" s="376"/>
      <c r="CH9" s="376"/>
      <c r="CI9" s="376"/>
      <c r="CJ9" s="376"/>
      <c r="CK9" s="376"/>
      <c r="CL9" s="373"/>
      <c r="CM9" s="199">
        <f t="shared" si="14"/>
        <v>0</v>
      </c>
      <c r="CN9" s="39"/>
      <c r="CO9" s="3"/>
      <c r="CP9" s="137">
        <f t="shared" si="15"/>
        <v>0</v>
      </c>
      <c r="CQ9" s="3"/>
      <c r="CR9" s="137">
        <f t="shared" si="16"/>
        <v>0</v>
      </c>
      <c r="CT9" s="137">
        <f t="shared" si="17"/>
        <v>0</v>
      </c>
    </row>
    <row r="10" spans="1:98" ht="15" customHeight="1" x14ac:dyDescent="0.2">
      <c r="A10" s="382"/>
      <c r="B10" s="441"/>
      <c r="C10" s="196" t="s">
        <v>140</v>
      </c>
      <c r="D10" s="197" t="s">
        <v>288</v>
      </c>
      <c r="E10" s="196" t="s">
        <v>47</v>
      </c>
      <c r="F10" s="301">
        <f>F1*(4.9*(1.014*1.012*1.015)*1.1/1.18)*1.028</f>
        <v>5.0057854229793595</v>
      </c>
      <c r="H10" s="43"/>
      <c r="I10" s="24"/>
      <c r="J10" s="24"/>
      <c r="K10" s="24"/>
      <c r="L10" s="330"/>
      <c r="M10" s="114">
        <f t="shared" si="9"/>
        <v>0</v>
      </c>
      <c r="N10" s="198">
        <v>1</v>
      </c>
      <c r="O10" s="199">
        <f t="shared" si="0"/>
        <v>0</v>
      </c>
      <c r="P10" s="379"/>
      <c r="Q10" s="376"/>
      <c r="R10" s="376"/>
      <c r="S10" s="376"/>
      <c r="T10" s="376"/>
      <c r="U10" s="376"/>
      <c r="V10" s="373"/>
      <c r="W10" s="199">
        <f t="shared" si="1"/>
        <v>0</v>
      </c>
      <c r="Y10" s="43">
        <v>39</v>
      </c>
      <c r="Z10" s="24"/>
      <c r="AA10" s="24"/>
      <c r="AB10" s="24"/>
      <c r="AC10" s="25"/>
      <c r="AD10" s="114">
        <f t="shared" si="10"/>
        <v>39</v>
      </c>
      <c r="AE10" s="198">
        <v>1</v>
      </c>
      <c r="AF10" s="199">
        <f t="shared" si="2"/>
        <v>195.22563149619501</v>
      </c>
      <c r="AG10" s="379"/>
      <c r="AH10" s="376"/>
      <c r="AI10" s="376"/>
      <c r="AJ10" s="376"/>
      <c r="AK10" s="376"/>
      <c r="AL10" s="376"/>
      <c r="AM10" s="373"/>
      <c r="AN10" s="199">
        <f t="shared" si="3"/>
        <v>264.30254096369919</v>
      </c>
      <c r="AP10" s="43"/>
      <c r="AQ10" s="24"/>
      <c r="AR10" s="24"/>
      <c r="AS10" s="24"/>
      <c r="AT10" s="25"/>
      <c r="AU10" s="114">
        <f t="shared" si="11"/>
        <v>0</v>
      </c>
      <c r="AV10" s="198">
        <v>1</v>
      </c>
      <c r="AW10" s="199">
        <f t="shared" si="4"/>
        <v>0</v>
      </c>
      <c r="AX10" s="379"/>
      <c r="AY10" s="376"/>
      <c r="AZ10" s="376"/>
      <c r="BA10" s="376"/>
      <c r="BB10" s="376"/>
      <c r="BC10" s="376"/>
      <c r="BD10" s="373"/>
      <c r="BE10" s="199">
        <f t="shared" si="5"/>
        <v>0</v>
      </c>
      <c r="BG10" s="43"/>
      <c r="BH10" s="24"/>
      <c r="BI10" s="24"/>
      <c r="BJ10" s="24"/>
      <c r="BK10" s="25"/>
      <c r="BL10" s="114">
        <f t="shared" si="12"/>
        <v>0</v>
      </c>
      <c r="BM10" s="198">
        <v>1</v>
      </c>
      <c r="BN10" s="199">
        <f t="shared" si="6"/>
        <v>0</v>
      </c>
      <c r="BO10" s="379"/>
      <c r="BP10" s="376"/>
      <c r="BQ10" s="376"/>
      <c r="BR10" s="376"/>
      <c r="BS10" s="376"/>
      <c r="BT10" s="376"/>
      <c r="BU10" s="373"/>
      <c r="BV10" s="199">
        <f t="shared" si="7"/>
        <v>0</v>
      </c>
      <c r="BX10" s="43"/>
      <c r="BY10" s="24"/>
      <c r="BZ10" s="24"/>
      <c r="CA10" s="24"/>
      <c r="CB10" s="25"/>
      <c r="CC10" s="114">
        <f t="shared" si="13"/>
        <v>0</v>
      </c>
      <c r="CD10" s="198">
        <v>1</v>
      </c>
      <c r="CE10" s="199">
        <f t="shared" si="8"/>
        <v>0</v>
      </c>
      <c r="CF10" s="379"/>
      <c r="CG10" s="376"/>
      <c r="CH10" s="376"/>
      <c r="CI10" s="376"/>
      <c r="CJ10" s="376"/>
      <c r="CK10" s="376"/>
      <c r="CL10" s="373"/>
      <c r="CM10" s="199">
        <f t="shared" si="14"/>
        <v>0</v>
      </c>
      <c r="CN10" s="39"/>
      <c r="CO10" s="3"/>
      <c r="CP10" s="137">
        <f t="shared" si="15"/>
        <v>195.22563149619501</v>
      </c>
      <c r="CQ10" s="3"/>
      <c r="CR10" s="137">
        <f t="shared" si="16"/>
        <v>264.30254096369919</v>
      </c>
      <c r="CT10" s="137">
        <f t="shared" si="17"/>
        <v>39</v>
      </c>
    </row>
    <row r="11" spans="1:98" ht="15" customHeight="1" x14ac:dyDescent="0.2">
      <c r="A11" s="382"/>
      <c r="B11" s="441"/>
      <c r="C11" s="196" t="s">
        <v>137</v>
      </c>
      <c r="D11" s="197" t="s">
        <v>289</v>
      </c>
      <c r="E11" s="196" t="s">
        <v>47</v>
      </c>
      <c r="F11" s="301">
        <f>F1*(4.5*(1.014*1.012*1.015)*1.1/1.18)*1.028</f>
        <v>4.5971498782463485</v>
      </c>
      <c r="H11" s="43"/>
      <c r="I11" s="24"/>
      <c r="J11" s="24"/>
      <c r="K11" s="24"/>
      <c r="L11" s="330"/>
      <c r="M11" s="114">
        <f t="shared" si="9"/>
        <v>0</v>
      </c>
      <c r="N11" s="198">
        <v>1</v>
      </c>
      <c r="O11" s="199">
        <f t="shared" si="0"/>
        <v>0</v>
      </c>
      <c r="P11" s="379"/>
      <c r="Q11" s="376"/>
      <c r="R11" s="376"/>
      <c r="S11" s="376"/>
      <c r="T11" s="376"/>
      <c r="U11" s="376"/>
      <c r="V11" s="373"/>
      <c r="W11" s="199">
        <f t="shared" si="1"/>
        <v>0</v>
      </c>
      <c r="Y11" s="43"/>
      <c r="Z11" s="24"/>
      <c r="AA11" s="24"/>
      <c r="AB11" s="24"/>
      <c r="AC11" s="25"/>
      <c r="AD11" s="114">
        <f t="shared" si="10"/>
        <v>0</v>
      </c>
      <c r="AE11" s="198">
        <v>1</v>
      </c>
      <c r="AF11" s="199">
        <f t="shared" si="2"/>
        <v>0</v>
      </c>
      <c r="AG11" s="379"/>
      <c r="AH11" s="376"/>
      <c r="AI11" s="376"/>
      <c r="AJ11" s="376"/>
      <c r="AK11" s="376"/>
      <c r="AL11" s="376"/>
      <c r="AM11" s="373"/>
      <c r="AN11" s="199">
        <f t="shared" si="3"/>
        <v>0</v>
      </c>
      <c r="AP11" s="43"/>
      <c r="AQ11" s="24"/>
      <c r="AR11" s="24"/>
      <c r="AS11" s="24"/>
      <c r="AT11" s="25"/>
      <c r="AU11" s="114">
        <f t="shared" si="11"/>
        <v>0</v>
      </c>
      <c r="AV11" s="198">
        <v>1</v>
      </c>
      <c r="AW11" s="199">
        <f t="shared" si="4"/>
        <v>0</v>
      </c>
      <c r="AX11" s="379"/>
      <c r="AY11" s="376"/>
      <c r="AZ11" s="376"/>
      <c r="BA11" s="376"/>
      <c r="BB11" s="376"/>
      <c r="BC11" s="376"/>
      <c r="BD11" s="373"/>
      <c r="BE11" s="199">
        <f t="shared" si="5"/>
        <v>0</v>
      </c>
      <c r="BG11" s="43"/>
      <c r="BH11" s="24"/>
      <c r="BI11" s="24"/>
      <c r="BJ11" s="24"/>
      <c r="BK11" s="25"/>
      <c r="BL11" s="114">
        <f t="shared" si="12"/>
        <v>0</v>
      </c>
      <c r="BM11" s="198">
        <v>1</v>
      </c>
      <c r="BN11" s="199">
        <f t="shared" si="6"/>
        <v>0</v>
      </c>
      <c r="BO11" s="379"/>
      <c r="BP11" s="376"/>
      <c r="BQ11" s="376"/>
      <c r="BR11" s="376"/>
      <c r="BS11" s="376"/>
      <c r="BT11" s="376"/>
      <c r="BU11" s="373"/>
      <c r="BV11" s="199">
        <f t="shared" si="7"/>
        <v>0</v>
      </c>
      <c r="BX11" s="43"/>
      <c r="BY11" s="24"/>
      <c r="BZ11" s="24"/>
      <c r="CA11" s="24"/>
      <c r="CB11" s="25"/>
      <c r="CC11" s="114">
        <f t="shared" si="13"/>
        <v>0</v>
      </c>
      <c r="CD11" s="198">
        <v>1</v>
      </c>
      <c r="CE11" s="199">
        <f t="shared" si="8"/>
        <v>0</v>
      </c>
      <c r="CF11" s="379"/>
      <c r="CG11" s="376"/>
      <c r="CH11" s="376"/>
      <c r="CI11" s="376"/>
      <c r="CJ11" s="376"/>
      <c r="CK11" s="376"/>
      <c r="CL11" s="373"/>
      <c r="CM11" s="199">
        <f t="shared" si="14"/>
        <v>0</v>
      </c>
      <c r="CN11" s="39"/>
      <c r="CO11" s="3"/>
      <c r="CP11" s="137">
        <f t="shared" si="15"/>
        <v>0</v>
      </c>
      <c r="CQ11" s="3"/>
      <c r="CR11" s="137">
        <f t="shared" si="16"/>
        <v>0</v>
      </c>
      <c r="CT11" s="137">
        <f t="shared" si="17"/>
        <v>0</v>
      </c>
    </row>
    <row r="12" spans="1:98" ht="15" customHeight="1" x14ac:dyDescent="0.2">
      <c r="A12" s="382"/>
      <c r="B12" s="442"/>
      <c r="C12" s="196" t="s">
        <v>141</v>
      </c>
      <c r="D12" s="197" t="s">
        <v>114</v>
      </c>
      <c r="E12" s="196" t="s">
        <v>47</v>
      </c>
      <c r="F12" s="301">
        <f>F1*(1.8*(1.014*1.012*1.015)*1.1/1.18)*1.028</f>
        <v>1.8388599512985397</v>
      </c>
      <c r="H12" s="43"/>
      <c r="I12" s="24"/>
      <c r="J12" s="24"/>
      <c r="K12" s="24"/>
      <c r="L12" s="330"/>
      <c r="M12" s="114">
        <f t="shared" si="9"/>
        <v>0</v>
      </c>
      <c r="N12" s="198">
        <v>1</v>
      </c>
      <c r="O12" s="199">
        <f t="shared" si="0"/>
        <v>0</v>
      </c>
      <c r="P12" s="379"/>
      <c r="Q12" s="376"/>
      <c r="R12" s="376"/>
      <c r="S12" s="376"/>
      <c r="T12" s="376"/>
      <c r="U12" s="376"/>
      <c r="V12" s="373"/>
      <c r="W12" s="199">
        <f t="shared" si="1"/>
        <v>0</v>
      </c>
      <c r="Y12" s="43">
        <v>40</v>
      </c>
      <c r="Z12" s="24"/>
      <c r="AA12" s="24"/>
      <c r="AB12" s="24"/>
      <c r="AC12" s="25"/>
      <c r="AD12" s="114">
        <f t="shared" si="10"/>
        <v>40</v>
      </c>
      <c r="AE12" s="198">
        <v>1</v>
      </c>
      <c r="AF12" s="199">
        <f t="shared" si="2"/>
        <v>73.55439805194159</v>
      </c>
      <c r="AG12" s="379"/>
      <c r="AH12" s="376"/>
      <c r="AI12" s="376"/>
      <c r="AJ12" s="376"/>
      <c r="AK12" s="376"/>
      <c r="AL12" s="376"/>
      <c r="AM12" s="373"/>
      <c r="AN12" s="199">
        <f t="shared" si="3"/>
        <v>99.580235213952577</v>
      </c>
      <c r="AP12" s="43"/>
      <c r="AQ12" s="24"/>
      <c r="AR12" s="24"/>
      <c r="AS12" s="24"/>
      <c r="AT12" s="25"/>
      <c r="AU12" s="114">
        <f t="shared" si="11"/>
        <v>0</v>
      </c>
      <c r="AV12" s="198">
        <v>1</v>
      </c>
      <c r="AW12" s="199">
        <f t="shared" si="4"/>
        <v>0</v>
      </c>
      <c r="AX12" s="379"/>
      <c r="AY12" s="376"/>
      <c r="AZ12" s="376"/>
      <c r="BA12" s="376"/>
      <c r="BB12" s="376"/>
      <c r="BC12" s="376"/>
      <c r="BD12" s="373"/>
      <c r="BE12" s="199">
        <f t="shared" si="5"/>
        <v>0</v>
      </c>
      <c r="BG12" s="43"/>
      <c r="BH12" s="24"/>
      <c r="BI12" s="24"/>
      <c r="BJ12" s="24"/>
      <c r="BK12" s="25"/>
      <c r="BL12" s="114">
        <f t="shared" si="12"/>
        <v>0</v>
      </c>
      <c r="BM12" s="198">
        <v>1</v>
      </c>
      <c r="BN12" s="199">
        <f t="shared" si="6"/>
        <v>0</v>
      </c>
      <c r="BO12" s="379"/>
      <c r="BP12" s="376"/>
      <c r="BQ12" s="376"/>
      <c r="BR12" s="376"/>
      <c r="BS12" s="376"/>
      <c r="BT12" s="376"/>
      <c r="BU12" s="373"/>
      <c r="BV12" s="199">
        <f t="shared" si="7"/>
        <v>0</v>
      </c>
      <c r="BX12" s="43"/>
      <c r="BY12" s="24"/>
      <c r="BZ12" s="24"/>
      <c r="CA12" s="24"/>
      <c r="CB12" s="25"/>
      <c r="CC12" s="114">
        <f t="shared" si="13"/>
        <v>0</v>
      </c>
      <c r="CD12" s="198">
        <v>1</v>
      </c>
      <c r="CE12" s="199">
        <f t="shared" si="8"/>
        <v>0</v>
      </c>
      <c r="CF12" s="379"/>
      <c r="CG12" s="376"/>
      <c r="CH12" s="376"/>
      <c r="CI12" s="376"/>
      <c r="CJ12" s="376"/>
      <c r="CK12" s="376"/>
      <c r="CL12" s="373"/>
      <c r="CM12" s="199">
        <f t="shared" si="14"/>
        <v>0</v>
      </c>
      <c r="CN12" s="39"/>
      <c r="CO12" s="3"/>
      <c r="CP12" s="137">
        <f t="shared" si="15"/>
        <v>73.55439805194159</v>
      </c>
      <c r="CQ12" s="3"/>
      <c r="CR12" s="137">
        <f t="shared" si="16"/>
        <v>99.580235213952577</v>
      </c>
      <c r="CT12" s="137">
        <f t="shared" si="17"/>
        <v>40</v>
      </c>
    </row>
    <row r="13" spans="1:98" ht="15" customHeight="1" x14ac:dyDescent="0.2">
      <c r="A13" s="382"/>
      <c r="B13" s="443" t="s">
        <v>293</v>
      </c>
      <c r="C13" s="196" t="s">
        <v>138</v>
      </c>
      <c r="D13" s="197" t="s">
        <v>291</v>
      </c>
      <c r="E13" s="196" t="s">
        <v>4</v>
      </c>
      <c r="F13" s="301">
        <f>F1*(1.85*(1.014*1.012*1.015)*1.1/1.18)*1.028</f>
        <v>1.8899393943901661</v>
      </c>
      <c r="H13" s="365">
        <v>2.6</v>
      </c>
      <c r="I13" s="24"/>
      <c r="J13" s="24"/>
      <c r="K13" s="24"/>
      <c r="L13" s="330"/>
      <c r="M13" s="114">
        <f t="shared" si="9"/>
        <v>2.6</v>
      </c>
      <c r="N13" s="198">
        <v>1</v>
      </c>
      <c r="O13" s="199">
        <f t="shared" si="0"/>
        <v>4.9138424254144324</v>
      </c>
      <c r="P13" s="379"/>
      <c r="Q13" s="376"/>
      <c r="R13" s="376"/>
      <c r="S13" s="376"/>
      <c r="T13" s="376"/>
      <c r="U13" s="376"/>
      <c r="V13" s="373"/>
      <c r="W13" s="199">
        <f t="shared" si="1"/>
        <v>6.652512935821</v>
      </c>
      <c r="Y13" s="43"/>
      <c r="Z13" s="24"/>
      <c r="AA13" s="24"/>
      <c r="AB13" s="24"/>
      <c r="AC13" s="25"/>
      <c r="AD13" s="114">
        <f t="shared" si="10"/>
        <v>0</v>
      </c>
      <c r="AE13" s="198">
        <v>1</v>
      </c>
      <c r="AF13" s="199">
        <f t="shared" si="2"/>
        <v>0</v>
      </c>
      <c r="AG13" s="379"/>
      <c r="AH13" s="376"/>
      <c r="AI13" s="376"/>
      <c r="AJ13" s="376"/>
      <c r="AK13" s="376"/>
      <c r="AL13" s="376"/>
      <c r="AM13" s="373"/>
      <c r="AN13" s="199">
        <f t="shared" si="3"/>
        <v>0</v>
      </c>
      <c r="AP13" s="365">
        <v>1</v>
      </c>
      <c r="AQ13" s="27"/>
      <c r="AR13" s="24"/>
      <c r="AS13" s="24"/>
      <c r="AT13" s="25"/>
      <c r="AU13" s="114">
        <f t="shared" si="11"/>
        <v>1</v>
      </c>
      <c r="AV13" s="198">
        <v>1</v>
      </c>
      <c r="AW13" s="199">
        <f t="shared" si="4"/>
        <v>1.8899393943901661</v>
      </c>
      <c r="AX13" s="379"/>
      <c r="AY13" s="376"/>
      <c r="AZ13" s="376"/>
      <c r="BA13" s="376"/>
      <c r="BB13" s="376"/>
      <c r="BC13" s="376"/>
      <c r="BD13" s="373"/>
      <c r="BE13" s="199">
        <f t="shared" si="5"/>
        <v>2.5586588214696149</v>
      </c>
      <c r="BG13" s="43"/>
      <c r="BH13" s="24"/>
      <c r="BI13" s="24"/>
      <c r="BJ13" s="24"/>
      <c r="BK13" s="25"/>
      <c r="BL13" s="114">
        <f t="shared" si="12"/>
        <v>0</v>
      </c>
      <c r="BM13" s="198">
        <v>1</v>
      </c>
      <c r="BN13" s="199">
        <f t="shared" si="6"/>
        <v>0</v>
      </c>
      <c r="BO13" s="379"/>
      <c r="BP13" s="376"/>
      <c r="BQ13" s="376"/>
      <c r="BR13" s="376"/>
      <c r="BS13" s="376"/>
      <c r="BT13" s="376"/>
      <c r="BU13" s="373"/>
      <c r="BV13" s="199">
        <f t="shared" si="7"/>
        <v>0</v>
      </c>
      <c r="BX13" s="43"/>
      <c r="BY13" s="24"/>
      <c r="BZ13" s="24"/>
      <c r="CA13" s="24"/>
      <c r="CB13" s="25"/>
      <c r="CC13" s="114">
        <f t="shared" si="13"/>
        <v>0</v>
      </c>
      <c r="CD13" s="198">
        <v>1</v>
      </c>
      <c r="CE13" s="199">
        <f t="shared" si="8"/>
        <v>0</v>
      </c>
      <c r="CF13" s="379"/>
      <c r="CG13" s="376"/>
      <c r="CH13" s="376"/>
      <c r="CI13" s="376"/>
      <c r="CJ13" s="376"/>
      <c r="CK13" s="376"/>
      <c r="CL13" s="373"/>
      <c r="CM13" s="199">
        <f t="shared" si="14"/>
        <v>0</v>
      </c>
      <c r="CN13" s="39"/>
      <c r="CO13" s="3"/>
      <c r="CP13" s="137">
        <f t="shared" si="15"/>
        <v>6.8037818198045983</v>
      </c>
      <c r="CQ13" s="3"/>
      <c r="CR13" s="137">
        <f t="shared" si="16"/>
        <v>9.2111717572906144</v>
      </c>
      <c r="CT13" s="137">
        <f t="shared" si="17"/>
        <v>3.6</v>
      </c>
    </row>
    <row r="14" spans="1:98" ht="15" customHeight="1" x14ac:dyDescent="0.2">
      <c r="A14" s="382"/>
      <c r="B14" s="442"/>
      <c r="C14" s="196" t="s">
        <v>142</v>
      </c>
      <c r="D14" s="197" t="s">
        <v>290</v>
      </c>
      <c r="E14" s="196" t="s">
        <v>4</v>
      </c>
      <c r="F14" s="301">
        <f>F1*(3.1*(1.014*1.012*1.015)*1.1/1.18)*1.028</f>
        <v>3.1669254716808188</v>
      </c>
      <c r="H14" s="43"/>
      <c r="I14" s="24"/>
      <c r="J14" s="24"/>
      <c r="K14" s="24"/>
      <c r="L14" s="330"/>
      <c r="M14" s="114">
        <f t="shared" si="9"/>
        <v>0</v>
      </c>
      <c r="N14" s="198">
        <v>1</v>
      </c>
      <c r="O14" s="199">
        <f t="shared" si="0"/>
        <v>0</v>
      </c>
      <c r="P14" s="379"/>
      <c r="Q14" s="376"/>
      <c r="R14" s="376"/>
      <c r="S14" s="376"/>
      <c r="T14" s="376"/>
      <c r="U14" s="376"/>
      <c r="V14" s="373"/>
      <c r="W14" s="199">
        <f t="shared" si="1"/>
        <v>0</v>
      </c>
      <c r="Y14" s="43"/>
      <c r="Z14" s="24"/>
      <c r="AA14" s="24"/>
      <c r="AB14" s="24"/>
      <c r="AC14" s="25"/>
      <c r="AD14" s="114">
        <f t="shared" si="10"/>
        <v>0</v>
      </c>
      <c r="AE14" s="198">
        <v>1</v>
      </c>
      <c r="AF14" s="199">
        <f t="shared" si="2"/>
        <v>0</v>
      </c>
      <c r="AG14" s="379"/>
      <c r="AH14" s="376"/>
      <c r="AI14" s="376"/>
      <c r="AJ14" s="376"/>
      <c r="AK14" s="376"/>
      <c r="AL14" s="376"/>
      <c r="AM14" s="373"/>
      <c r="AN14" s="199">
        <f t="shared" si="3"/>
        <v>0</v>
      </c>
      <c r="AP14" s="43"/>
      <c r="AQ14" s="24"/>
      <c r="AR14" s="24"/>
      <c r="AS14" s="24"/>
      <c r="AT14" s="25"/>
      <c r="AU14" s="114">
        <f t="shared" si="11"/>
        <v>0</v>
      </c>
      <c r="AV14" s="198">
        <v>1</v>
      </c>
      <c r="AW14" s="199">
        <f t="shared" si="4"/>
        <v>0</v>
      </c>
      <c r="AX14" s="379"/>
      <c r="AY14" s="376"/>
      <c r="AZ14" s="376"/>
      <c r="BA14" s="376"/>
      <c r="BB14" s="376"/>
      <c r="BC14" s="376"/>
      <c r="BD14" s="373"/>
      <c r="BE14" s="199">
        <f t="shared" si="5"/>
        <v>0</v>
      </c>
      <c r="BG14" s="43"/>
      <c r="BH14" s="24"/>
      <c r="BI14" s="24"/>
      <c r="BJ14" s="24"/>
      <c r="BK14" s="25"/>
      <c r="BL14" s="114">
        <f t="shared" si="12"/>
        <v>0</v>
      </c>
      <c r="BM14" s="198">
        <v>1</v>
      </c>
      <c r="BN14" s="199">
        <f t="shared" si="6"/>
        <v>0</v>
      </c>
      <c r="BO14" s="379"/>
      <c r="BP14" s="376"/>
      <c r="BQ14" s="376"/>
      <c r="BR14" s="376"/>
      <c r="BS14" s="376"/>
      <c r="BT14" s="376"/>
      <c r="BU14" s="373"/>
      <c r="BV14" s="199">
        <f t="shared" si="7"/>
        <v>0</v>
      </c>
      <c r="BX14" s="43"/>
      <c r="BY14" s="24"/>
      <c r="BZ14" s="24"/>
      <c r="CA14" s="24"/>
      <c r="CB14" s="25"/>
      <c r="CC14" s="114">
        <f t="shared" si="13"/>
        <v>0</v>
      </c>
      <c r="CD14" s="198">
        <v>1</v>
      </c>
      <c r="CE14" s="199">
        <f t="shared" si="8"/>
        <v>0</v>
      </c>
      <c r="CF14" s="379"/>
      <c r="CG14" s="376"/>
      <c r="CH14" s="376"/>
      <c r="CI14" s="376"/>
      <c r="CJ14" s="376"/>
      <c r="CK14" s="376"/>
      <c r="CL14" s="373"/>
      <c r="CM14" s="199">
        <f t="shared" si="14"/>
        <v>0</v>
      </c>
      <c r="CN14" s="39"/>
      <c r="CO14" s="3"/>
      <c r="CP14" s="137">
        <f t="shared" si="15"/>
        <v>0</v>
      </c>
      <c r="CQ14" s="3"/>
      <c r="CR14" s="137">
        <f t="shared" si="16"/>
        <v>0</v>
      </c>
      <c r="CT14" s="137">
        <f t="shared" si="17"/>
        <v>0</v>
      </c>
    </row>
    <row r="15" spans="1:98" ht="15" customHeight="1" x14ac:dyDescent="0.2">
      <c r="A15" s="382"/>
      <c r="B15" s="439" t="s">
        <v>295</v>
      </c>
      <c r="C15" s="196" t="s">
        <v>139</v>
      </c>
      <c r="D15" s="197" t="s">
        <v>296</v>
      </c>
      <c r="E15" s="196" t="s">
        <v>3</v>
      </c>
      <c r="F15" s="301">
        <f>F1*(4.8*(1.014*1.012*1.015)*1.1/1.18)*1.028</f>
        <v>4.9036265367961054</v>
      </c>
      <c r="H15" s="43"/>
      <c r="I15" s="24"/>
      <c r="J15" s="24"/>
      <c r="K15" s="24"/>
      <c r="L15" s="330"/>
      <c r="M15" s="114">
        <f t="shared" si="9"/>
        <v>0</v>
      </c>
      <c r="N15" s="198">
        <v>1</v>
      </c>
      <c r="O15" s="199">
        <f t="shared" si="0"/>
        <v>0</v>
      </c>
      <c r="P15" s="379"/>
      <c r="Q15" s="376"/>
      <c r="R15" s="376"/>
      <c r="S15" s="376"/>
      <c r="T15" s="376"/>
      <c r="U15" s="376"/>
      <c r="V15" s="373"/>
      <c r="W15" s="199">
        <f t="shared" si="1"/>
        <v>0</v>
      </c>
      <c r="Y15" s="43"/>
      <c r="Z15" s="24"/>
      <c r="AA15" s="24"/>
      <c r="AB15" s="24"/>
      <c r="AC15" s="25"/>
      <c r="AD15" s="114">
        <f t="shared" si="10"/>
        <v>0</v>
      </c>
      <c r="AE15" s="198">
        <v>1</v>
      </c>
      <c r="AF15" s="199">
        <f t="shared" si="2"/>
        <v>0</v>
      </c>
      <c r="AG15" s="379"/>
      <c r="AH15" s="376"/>
      <c r="AI15" s="376"/>
      <c r="AJ15" s="376"/>
      <c r="AK15" s="376"/>
      <c r="AL15" s="376"/>
      <c r="AM15" s="373"/>
      <c r="AN15" s="199">
        <f t="shared" si="3"/>
        <v>0</v>
      </c>
      <c r="AP15" s="43"/>
      <c r="AQ15" s="24"/>
      <c r="AR15" s="24"/>
      <c r="AS15" s="24"/>
      <c r="AT15" s="25"/>
      <c r="AU15" s="114">
        <f t="shared" si="11"/>
        <v>0</v>
      </c>
      <c r="AV15" s="198">
        <v>1</v>
      </c>
      <c r="AW15" s="199">
        <f t="shared" si="4"/>
        <v>0</v>
      </c>
      <c r="AX15" s="379"/>
      <c r="AY15" s="376"/>
      <c r="AZ15" s="376"/>
      <c r="BA15" s="376"/>
      <c r="BB15" s="376"/>
      <c r="BC15" s="376"/>
      <c r="BD15" s="373"/>
      <c r="BE15" s="199">
        <f t="shared" si="5"/>
        <v>0</v>
      </c>
      <c r="BG15" s="43"/>
      <c r="BH15" s="24"/>
      <c r="BI15" s="24"/>
      <c r="BJ15" s="24"/>
      <c r="BK15" s="25"/>
      <c r="BL15" s="114">
        <f t="shared" si="12"/>
        <v>0</v>
      </c>
      <c r="BM15" s="198">
        <v>1</v>
      </c>
      <c r="BN15" s="199">
        <f t="shared" si="6"/>
        <v>0</v>
      </c>
      <c r="BO15" s="379"/>
      <c r="BP15" s="376"/>
      <c r="BQ15" s="376"/>
      <c r="BR15" s="376"/>
      <c r="BS15" s="376"/>
      <c r="BT15" s="376"/>
      <c r="BU15" s="373"/>
      <c r="BV15" s="199">
        <f t="shared" si="7"/>
        <v>0</v>
      </c>
      <c r="BX15" s="43"/>
      <c r="BY15" s="24"/>
      <c r="BZ15" s="24"/>
      <c r="CA15" s="24"/>
      <c r="CB15" s="25"/>
      <c r="CC15" s="114">
        <f t="shared" si="13"/>
        <v>0</v>
      </c>
      <c r="CD15" s="198">
        <v>1</v>
      </c>
      <c r="CE15" s="199">
        <f t="shared" si="8"/>
        <v>0</v>
      </c>
      <c r="CF15" s="379"/>
      <c r="CG15" s="376"/>
      <c r="CH15" s="376"/>
      <c r="CI15" s="376"/>
      <c r="CJ15" s="376"/>
      <c r="CK15" s="376"/>
      <c r="CL15" s="373"/>
      <c r="CM15" s="199">
        <f t="shared" si="14"/>
        <v>0</v>
      </c>
      <c r="CN15" s="39"/>
      <c r="CO15" s="3"/>
      <c r="CP15" s="137">
        <f t="shared" si="15"/>
        <v>0</v>
      </c>
      <c r="CQ15" s="3"/>
      <c r="CR15" s="137">
        <f t="shared" si="16"/>
        <v>0</v>
      </c>
      <c r="CT15" s="137">
        <f t="shared" si="17"/>
        <v>0</v>
      </c>
    </row>
    <row r="16" spans="1:98" ht="15" customHeight="1" x14ac:dyDescent="0.2">
      <c r="A16" s="382"/>
      <c r="B16" s="444"/>
      <c r="C16" s="196" t="s">
        <v>25</v>
      </c>
      <c r="D16" s="197" t="s">
        <v>297</v>
      </c>
      <c r="E16" s="196" t="s">
        <v>3</v>
      </c>
      <c r="F16" s="301">
        <f>F1*(5.7*(1.014*1.012*1.015)*1.1/1.18)*1.028</f>
        <v>5.8230565124453761</v>
      </c>
      <c r="H16" s="43"/>
      <c r="I16" s="24"/>
      <c r="J16" s="24"/>
      <c r="K16" s="24"/>
      <c r="L16" s="330"/>
      <c r="M16" s="114">
        <f t="shared" si="9"/>
        <v>0</v>
      </c>
      <c r="N16" s="198">
        <v>1</v>
      </c>
      <c r="O16" s="199">
        <f t="shared" si="0"/>
        <v>0</v>
      </c>
      <c r="P16" s="379"/>
      <c r="Q16" s="376"/>
      <c r="R16" s="376"/>
      <c r="S16" s="376"/>
      <c r="T16" s="376"/>
      <c r="U16" s="376"/>
      <c r="V16" s="373"/>
      <c r="W16" s="199">
        <f t="shared" si="1"/>
        <v>0</v>
      </c>
      <c r="Y16" s="43"/>
      <c r="Z16" s="24"/>
      <c r="AA16" s="24"/>
      <c r="AB16" s="24"/>
      <c r="AC16" s="25"/>
      <c r="AD16" s="114">
        <f t="shared" si="10"/>
        <v>0</v>
      </c>
      <c r="AE16" s="198">
        <v>1</v>
      </c>
      <c r="AF16" s="199">
        <f t="shared" si="2"/>
        <v>0</v>
      </c>
      <c r="AG16" s="379"/>
      <c r="AH16" s="376"/>
      <c r="AI16" s="376"/>
      <c r="AJ16" s="376"/>
      <c r="AK16" s="376"/>
      <c r="AL16" s="376"/>
      <c r="AM16" s="373"/>
      <c r="AN16" s="199">
        <f t="shared" si="3"/>
        <v>0</v>
      </c>
      <c r="AP16" s="43"/>
      <c r="AQ16" s="24"/>
      <c r="AR16" s="24"/>
      <c r="AS16" s="24"/>
      <c r="AT16" s="25"/>
      <c r="AU16" s="114">
        <f t="shared" si="11"/>
        <v>0</v>
      </c>
      <c r="AV16" s="198">
        <v>1</v>
      </c>
      <c r="AW16" s="199">
        <f t="shared" si="4"/>
        <v>0</v>
      </c>
      <c r="AX16" s="379"/>
      <c r="AY16" s="376"/>
      <c r="AZ16" s="376"/>
      <c r="BA16" s="376"/>
      <c r="BB16" s="376"/>
      <c r="BC16" s="376"/>
      <c r="BD16" s="373"/>
      <c r="BE16" s="199">
        <f t="shared" si="5"/>
        <v>0</v>
      </c>
      <c r="BG16" s="43"/>
      <c r="BH16" s="24"/>
      <c r="BI16" s="24"/>
      <c r="BJ16" s="24"/>
      <c r="BK16" s="25"/>
      <c r="BL16" s="114">
        <f t="shared" si="12"/>
        <v>0</v>
      </c>
      <c r="BM16" s="198">
        <v>1</v>
      </c>
      <c r="BN16" s="199">
        <f t="shared" si="6"/>
        <v>0</v>
      </c>
      <c r="BO16" s="379"/>
      <c r="BP16" s="376"/>
      <c r="BQ16" s="376"/>
      <c r="BR16" s="376"/>
      <c r="BS16" s="376"/>
      <c r="BT16" s="376"/>
      <c r="BU16" s="373"/>
      <c r="BV16" s="199">
        <f t="shared" si="7"/>
        <v>0</v>
      </c>
      <c r="BX16" s="43"/>
      <c r="BY16" s="24"/>
      <c r="BZ16" s="24"/>
      <c r="CA16" s="24"/>
      <c r="CB16" s="25"/>
      <c r="CC16" s="114">
        <f t="shared" si="13"/>
        <v>0</v>
      </c>
      <c r="CD16" s="198">
        <v>1</v>
      </c>
      <c r="CE16" s="199">
        <f t="shared" si="8"/>
        <v>0</v>
      </c>
      <c r="CF16" s="379"/>
      <c r="CG16" s="376"/>
      <c r="CH16" s="376"/>
      <c r="CI16" s="376"/>
      <c r="CJ16" s="376"/>
      <c r="CK16" s="376"/>
      <c r="CL16" s="373"/>
      <c r="CM16" s="199">
        <f t="shared" si="14"/>
        <v>0</v>
      </c>
      <c r="CN16" s="39"/>
      <c r="CO16" s="3"/>
      <c r="CP16" s="137">
        <f t="shared" si="15"/>
        <v>0</v>
      </c>
      <c r="CQ16" s="3"/>
      <c r="CR16" s="137">
        <f t="shared" si="16"/>
        <v>0</v>
      </c>
      <c r="CT16" s="137">
        <f t="shared" si="17"/>
        <v>0</v>
      </c>
    </row>
    <row r="17" spans="1:98" ht="15" customHeight="1" x14ac:dyDescent="0.2">
      <c r="A17" s="382"/>
      <c r="B17" s="439" t="s">
        <v>294</v>
      </c>
      <c r="C17" s="196" t="s">
        <v>26</v>
      </c>
      <c r="D17" s="197" t="s">
        <v>24</v>
      </c>
      <c r="E17" s="200" t="s">
        <v>5</v>
      </c>
      <c r="F17" s="302">
        <f>F1*(4.5*(1.014*1.012*1.015)*1.1/1.18)*1.028</f>
        <v>4.5971498782463485</v>
      </c>
      <c r="H17" s="43"/>
      <c r="I17" s="24"/>
      <c r="J17" s="24"/>
      <c r="K17" s="24"/>
      <c r="L17" s="330"/>
      <c r="M17" s="114">
        <f t="shared" si="9"/>
        <v>0</v>
      </c>
      <c r="N17" s="198">
        <v>1</v>
      </c>
      <c r="O17" s="199">
        <f t="shared" si="0"/>
        <v>0</v>
      </c>
      <c r="P17" s="379"/>
      <c r="Q17" s="376"/>
      <c r="R17" s="376"/>
      <c r="S17" s="376"/>
      <c r="T17" s="376"/>
      <c r="U17" s="376"/>
      <c r="V17" s="373"/>
      <c r="W17" s="199">
        <f t="shared" si="1"/>
        <v>0</v>
      </c>
      <c r="Y17" s="43">
        <v>1</v>
      </c>
      <c r="Z17" s="24"/>
      <c r="AA17" s="24"/>
      <c r="AB17" s="24"/>
      <c r="AC17" s="25"/>
      <c r="AD17" s="114">
        <f t="shared" si="10"/>
        <v>1</v>
      </c>
      <c r="AE17" s="198">
        <v>1</v>
      </c>
      <c r="AF17" s="199">
        <f t="shared" si="2"/>
        <v>4.5971498782463485</v>
      </c>
      <c r="AG17" s="379"/>
      <c r="AH17" s="376"/>
      <c r="AI17" s="376"/>
      <c r="AJ17" s="376"/>
      <c r="AK17" s="376"/>
      <c r="AL17" s="376"/>
      <c r="AM17" s="373"/>
      <c r="AN17" s="199">
        <f t="shared" si="3"/>
        <v>6.2237647008720343</v>
      </c>
      <c r="AP17" s="43"/>
      <c r="AQ17" s="24"/>
      <c r="AR17" s="24"/>
      <c r="AS17" s="24"/>
      <c r="AT17" s="25"/>
      <c r="AU17" s="114">
        <f t="shared" si="11"/>
        <v>0</v>
      </c>
      <c r="AV17" s="198">
        <v>1</v>
      </c>
      <c r="AW17" s="199">
        <f t="shared" si="4"/>
        <v>0</v>
      </c>
      <c r="AX17" s="379"/>
      <c r="AY17" s="376"/>
      <c r="AZ17" s="376"/>
      <c r="BA17" s="376"/>
      <c r="BB17" s="376"/>
      <c r="BC17" s="376"/>
      <c r="BD17" s="373"/>
      <c r="BE17" s="199">
        <f t="shared" si="5"/>
        <v>0</v>
      </c>
      <c r="BG17" s="43"/>
      <c r="BH17" s="24"/>
      <c r="BI17" s="24"/>
      <c r="BJ17" s="24"/>
      <c r="BK17" s="25"/>
      <c r="BL17" s="114">
        <f t="shared" si="12"/>
        <v>0</v>
      </c>
      <c r="BM17" s="198">
        <v>1</v>
      </c>
      <c r="BN17" s="199">
        <f t="shared" si="6"/>
        <v>0</v>
      </c>
      <c r="BO17" s="379"/>
      <c r="BP17" s="376"/>
      <c r="BQ17" s="376"/>
      <c r="BR17" s="376"/>
      <c r="BS17" s="376"/>
      <c r="BT17" s="376"/>
      <c r="BU17" s="373"/>
      <c r="BV17" s="199">
        <f t="shared" si="7"/>
        <v>0</v>
      </c>
      <c r="BX17" s="43"/>
      <c r="BY17" s="24"/>
      <c r="BZ17" s="24"/>
      <c r="CA17" s="24"/>
      <c r="CB17" s="25"/>
      <c r="CC17" s="114">
        <f t="shared" si="13"/>
        <v>0</v>
      </c>
      <c r="CD17" s="198">
        <v>1</v>
      </c>
      <c r="CE17" s="199">
        <f t="shared" si="8"/>
        <v>0</v>
      </c>
      <c r="CF17" s="379"/>
      <c r="CG17" s="376"/>
      <c r="CH17" s="376"/>
      <c r="CI17" s="376"/>
      <c r="CJ17" s="376"/>
      <c r="CK17" s="376"/>
      <c r="CL17" s="373"/>
      <c r="CM17" s="199">
        <f t="shared" si="14"/>
        <v>0</v>
      </c>
      <c r="CN17" s="39"/>
      <c r="CO17" s="3"/>
      <c r="CP17" s="137">
        <f t="shared" si="15"/>
        <v>4.5971498782463485</v>
      </c>
      <c r="CQ17" s="3"/>
      <c r="CR17" s="137">
        <f t="shared" si="16"/>
        <v>6.2237647008720343</v>
      </c>
      <c r="CT17" s="137">
        <f t="shared" si="17"/>
        <v>1</v>
      </c>
    </row>
    <row r="18" spans="1:98" ht="15" customHeight="1" x14ac:dyDescent="0.2">
      <c r="A18" s="382"/>
      <c r="B18" s="444"/>
      <c r="C18" s="196" t="s">
        <v>27</v>
      </c>
      <c r="D18" s="197" t="s">
        <v>115</v>
      </c>
      <c r="E18" s="200" t="s">
        <v>4</v>
      </c>
      <c r="F18" s="302">
        <f>F1*(3.8*(1.014*1.012*1.015)*1.1/1.18)*1.028</f>
        <v>3.8820376749635837</v>
      </c>
      <c r="H18" s="43"/>
      <c r="I18" s="24"/>
      <c r="J18" s="24"/>
      <c r="K18" s="24"/>
      <c r="L18" s="330"/>
      <c r="M18" s="114">
        <f>SUM(H18:L18)</f>
        <v>0</v>
      </c>
      <c r="N18" s="198">
        <v>1</v>
      </c>
      <c r="O18" s="199">
        <f t="shared" si="0"/>
        <v>0</v>
      </c>
      <c r="P18" s="379"/>
      <c r="Q18" s="376"/>
      <c r="R18" s="376"/>
      <c r="S18" s="376"/>
      <c r="T18" s="376"/>
      <c r="U18" s="376"/>
      <c r="V18" s="373"/>
      <c r="W18" s="199">
        <f t="shared" si="1"/>
        <v>0</v>
      </c>
      <c r="Y18" s="43"/>
      <c r="Z18" s="24"/>
      <c r="AA18" s="24"/>
      <c r="AB18" s="24"/>
      <c r="AC18" s="25"/>
      <c r="AD18" s="114">
        <f t="shared" si="10"/>
        <v>0</v>
      </c>
      <c r="AE18" s="198">
        <v>1</v>
      </c>
      <c r="AF18" s="199">
        <f t="shared" si="2"/>
        <v>0</v>
      </c>
      <c r="AG18" s="379"/>
      <c r="AH18" s="376"/>
      <c r="AI18" s="376"/>
      <c r="AJ18" s="376"/>
      <c r="AK18" s="376"/>
      <c r="AL18" s="376"/>
      <c r="AM18" s="373"/>
      <c r="AN18" s="199">
        <f t="shared" si="3"/>
        <v>0</v>
      </c>
      <c r="AP18" s="43"/>
      <c r="AQ18" s="24"/>
      <c r="AR18" s="24"/>
      <c r="AS18" s="24"/>
      <c r="AT18" s="25"/>
      <c r="AU18" s="114">
        <f t="shared" si="11"/>
        <v>0</v>
      </c>
      <c r="AV18" s="198">
        <v>1</v>
      </c>
      <c r="AW18" s="199">
        <f t="shared" si="4"/>
        <v>0</v>
      </c>
      <c r="AX18" s="379"/>
      <c r="AY18" s="376"/>
      <c r="AZ18" s="376"/>
      <c r="BA18" s="376"/>
      <c r="BB18" s="376"/>
      <c r="BC18" s="376"/>
      <c r="BD18" s="373"/>
      <c r="BE18" s="199">
        <f t="shared" si="5"/>
        <v>0</v>
      </c>
      <c r="BG18" s="43"/>
      <c r="BH18" s="24"/>
      <c r="BI18" s="24"/>
      <c r="BJ18" s="24"/>
      <c r="BK18" s="25"/>
      <c r="BL18" s="114">
        <f t="shared" si="12"/>
        <v>0</v>
      </c>
      <c r="BM18" s="198">
        <v>1</v>
      </c>
      <c r="BN18" s="199">
        <f t="shared" si="6"/>
        <v>0</v>
      </c>
      <c r="BO18" s="379"/>
      <c r="BP18" s="376"/>
      <c r="BQ18" s="376"/>
      <c r="BR18" s="376"/>
      <c r="BS18" s="376"/>
      <c r="BT18" s="376"/>
      <c r="BU18" s="373"/>
      <c r="BV18" s="199">
        <f t="shared" si="7"/>
        <v>0</v>
      </c>
      <c r="BX18" s="43"/>
      <c r="BY18" s="24"/>
      <c r="BZ18" s="24"/>
      <c r="CA18" s="24"/>
      <c r="CB18" s="25"/>
      <c r="CC18" s="114">
        <f t="shared" si="13"/>
        <v>0</v>
      </c>
      <c r="CD18" s="198">
        <v>1</v>
      </c>
      <c r="CE18" s="199">
        <f t="shared" si="8"/>
        <v>0</v>
      </c>
      <c r="CF18" s="379"/>
      <c r="CG18" s="376"/>
      <c r="CH18" s="376"/>
      <c r="CI18" s="376"/>
      <c r="CJ18" s="376"/>
      <c r="CK18" s="376"/>
      <c r="CL18" s="373"/>
      <c r="CM18" s="199">
        <f t="shared" si="14"/>
        <v>0</v>
      </c>
      <c r="CN18" s="39"/>
      <c r="CO18" s="3"/>
      <c r="CP18" s="137">
        <f t="shared" si="15"/>
        <v>0</v>
      </c>
      <c r="CQ18" s="3"/>
      <c r="CR18" s="137">
        <f t="shared" si="16"/>
        <v>0</v>
      </c>
      <c r="CT18" s="137">
        <f t="shared" si="17"/>
        <v>0</v>
      </c>
    </row>
    <row r="19" spans="1:98" ht="15" customHeight="1" x14ac:dyDescent="0.2">
      <c r="A19" s="382"/>
      <c r="B19" s="439" t="s">
        <v>41</v>
      </c>
      <c r="C19" s="196" t="s">
        <v>28</v>
      </c>
      <c r="D19" s="201" t="s">
        <v>357</v>
      </c>
      <c r="E19" s="202"/>
      <c r="F19" s="322"/>
      <c r="H19" s="43"/>
      <c r="I19" s="24"/>
      <c r="J19" s="24"/>
      <c r="K19" s="24"/>
      <c r="L19" s="330"/>
      <c r="M19" s="114">
        <f>SUM(H19:L19)</f>
        <v>0</v>
      </c>
      <c r="N19" s="198">
        <v>1</v>
      </c>
      <c r="O19" s="199">
        <f t="shared" si="0"/>
        <v>0</v>
      </c>
      <c r="P19" s="379"/>
      <c r="Q19" s="376"/>
      <c r="R19" s="376"/>
      <c r="S19" s="376"/>
      <c r="T19" s="376"/>
      <c r="U19" s="376"/>
      <c r="V19" s="373"/>
      <c r="W19" s="199">
        <f t="shared" si="1"/>
        <v>0</v>
      </c>
      <c r="Y19" s="43"/>
      <c r="Z19" s="24"/>
      <c r="AA19" s="24"/>
      <c r="AB19" s="24"/>
      <c r="AC19" s="25"/>
      <c r="AD19" s="114">
        <f t="shared" si="10"/>
        <v>0</v>
      </c>
      <c r="AE19" s="198">
        <v>1</v>
      </c>
      <c r="AF19" s="199">
        <f t="shared" si="2"/>
        <v>0</v>
      </c>
      <c r="AG19" s="379"/>
      <c r="AH19" s="376"/>
      <c r="AI19" s="376"/>
      <c r="AJ19" s="376"/>
      <c r="AK19" s="376"/>
      <c r="AL19" s="376"/>
      <c r="AM19" s="373"/>
      <c r="AN19" s="199">
        <f t="shared" si="3"/>
        <v>0</v>
      </c>
      <c r="AP19" s="43"/>
      <c r="AQ19" s="24"/>
      <c r="AR19" s="24"/>
      <c r="AS19" s="24"/>
      <c r="AT19" s="25"/>
      <c r="AU19" s="114">
        <f t="shared" si="11"/>
        <v>0</v>
      </c>
      <c r="AV19" s="198">
        <v>1</v>
      </c>
      <c r="AW19" s="199">
        <f t="shared" si="4"/>
        <v>0</v>
      </c>
      <c r="AX19" s="379"/>
      <c r="AY19" s="376"/>
      <c r="AZ19" s="376"/>
      <c r="BA19" s="376"/>
      <c r="BB19" s="376"/>
      <c r="BC19" s="376"/>
      <c r="BD19" s="373"/>
      <c r="BE19" s="199">
        <f t="shared" si="5"/>
        <v>0</v>
      </c>
      <c r="BG19" s="43"/>
      <c r="BH19" s="24"/>
      <c r="BI19" s="24"/>
      <c r="BJ19" s="24"/>
      <c r="BK19" s="25"/>
      <c r="BL19" s="114">
        <f t="shared" si="12"/>
        <v>0</v>
      </c>
      <c r="BM19" s="198">
        <v>1</v>
      </c>
      <c r="BN19" s="199">
        <f t="shared" si="6"/>
        <v>0</v>
      </c>
      <c r="BO19" s="379"/>
      <c r="BP19" s="376"/>
      <c r="BQ19" s="376"/>
      <c r="BR19" s="376"/>
      <c r="BS19" s="376"/>
      <c r="BT19" s="376"/>
      <c r="BU19" s="373"/>
      <c r="BV19" s="199">
        <f t="shared" si="7"/>
        <v>0</v>
      </c>
      <c r="BX19" s="43"/>
      <c r="BY19" s="24"/>
      <c r="BZ19" s="24"/>
      <c r="CA19" s="24"/>
      <c r="CB19" s="25"/>
      <c r="CC19" s="114">
        <f t="shared" si="13"/>
        <v>0</v>
      </c>
      <c r="CD19" s="198">
        <v>1</v>
      </c>
      <c r="CE19" s="199">
        <f t="shared" si="8"/>
        <v>0</v>
      </c>
      <c r="CF19" s="379"/>
      <c r="CG19" s="376"/>
      <c r="CH19" s="376"/>
      <c r="CI19" s="376"/>
      <c r="CJ19" s="376"/>
      <c r="CK19" s="376"/>
      <c r="CL19" s="373"/>
      <c r="CM19" s="199">
        <f t="shared" si="14"/>
        <v>0</v>
      </c>
      <c r="CN19" s="39"/>
      <c r="CO19" s="3"/>
      <c r="CP19" s="137">
        <f t="shared" si="15"/>
        <v>0</v>
      </c>
      <c r="CQ19" s="3"/>
      <c r="CR19" s="137">
        <f t="shared" si="16"/>
        <v>0</v>
      </c>
      <c r="CT19" s="137">
        <f t="shared" si="17"/>
        <v>0</v>
      </c>
    </row>
    <row r="20" spans="1:98" ht="15" customHeight="1" x14ac:dyDescent="0.2">
      <c r="A20" s="382"/>
      <c r="B20" s="440"/>
      <c r="C20" s="196" t="s">
        <v>29</v>
      </c>
      <c r="D20" s="201" t="s">
        <v>357</v>
      </c>
      <c r="E20" s="202"/>
      <c r="F20" s="322"/>
      <c r="H20" s="43"/>
      <c r="I20" s="24"/>
      <c r="J20" s="24"/>
      <c r="K20" s="24"/>
      <c r="L20" s="330"/>
      <c r="M20" s="114">
        <f>SUM(H20:L20)</f>
        <v>0</v>
      </c>
      <c r="N20" s="198">
        <v>1</v>
      </c>
      <c r="O20" s="199">
        <f t="shared" si="0"/>
        <v>0</v>
      </c>
      <c r="P20" s="379"/>
      <c r="Q20" s="376"/>
      <c r="R20" s="376"/>
      <c r="S20" s="376"/>
      <c r="T20" s="376"/>
      <c r="U20" s="376"/>
      <c r="V20" s="373"/>
      <c r="W20" s="199">
        <f t="shared" si="1"/>
        <v>0</v>
      </c>
      <c r="Y20" s="43"/>
      <c r="Z20" s="24"/>
      <c r="AA20" s="24"/>
      <c r="AB20" s="24"/>
      <c r="AC20" s="25"/>
      <c r="AD20" s="114">
        <f t="shared" si="10"/>
        <v>0</v>
      </c>
      <c r="AE20" s="198">
        <v>1</v>
      </c>
      <c r="AF20" s="199">
        <f t="shared" si="2"/>
        <v>0</v>
      </c>
      <c r="AG20" s="379"/>
      <c r="AH20" s="376"/>
      <c r="AI20" s="376"/>
      <c r="AJ20" s="376"/>
      <c r="AK20" s="376"/>
      <c r="AL20" s="376"/>
      <c r="AM20" s="373"/>
      <c r="AN20" s="199">
        <f t="shared" si="3"/>
        <v>0</v>
      </c>
      <c r="AP20" s="43"/>
      <c r="AQ20" s="24"/>
      <c r="AR20" s="24"/>
      <c r="AS20" s="24"/>
      <c r="AT20" s="25"/>
      <c r="AU20" s="114">
        <f t="shared" si="11"/>
        <v>0</v>
      </c>
      <c r="AV20" s="198">
        <v>1</v>
      </c>
      <c r="AW20" s="199">
        <f t="shared" si="4"/>
        <v>0</v>
      </c>
      <c r="AX20" s="379"/>
      <c r="AY20" s="376"/>
      <c r="AZ20" s="376"/>
      <c r="BA20" s="376"/>
      <c r="BB20" s="376"/>
      <c r="BC20" s="376"/>
      <c r="BD20" s="373"/>
      <c r="BE20" s="199">
        <f t="shared" si="5"/>
        <v>0</v>
      </c>
      <c r="BG20" s="43"/>
      <c r="BH20" s="24"/>
      <c r="BI20" s="24"/>
      <c r="BJ20" s="24"/>
      <c r="BK20" s="25"/>
      <c r="BL20" s="114">
        <f t="shared" si="12"/>
        <v>0</v>
      </c>
      <c r="BM20" s="198">
        <v>1</v>
      </c>
      <c r="BN20" s="199">
        <f t="shared" si="6"/>
        <v>0</v>
      </c>
      <c r="BO20" s="379"/>
      <c r="BP20" s="376"/>
      <c r="BQ20" s="376"/>
      <c r="BR20" s="376"/>
      <c r="BS20" s="376"/>
      <c r="BT20" s="376"/>
      <c r="BU20" s="373"/>
      <c r="BV20" s="199">
        <f t="shared" si="7"/>
        <v>0</v>
      </c>
      <c r="BX20" s="43"/>
      <c r="BY20" s="24"/>
      <c r="BZ20" s="24"/>
      <c r="CA20" s="24"/>
      <c r="CB20" s="25"/>
      <c r="CC20" s="114">
        <f t="shared" si="13"/>
        <v>0</v>
      </c>
      <c r="CD20" s="198">
        <v>1</v>
      </c>
      <c r="CE20" s="199">
        <f t="shared" si="8"/>
        <v>0</v>
      </c>
      <c r="CF20" s="379"/>
      <c r="CG20" s="376"/>
      <c r="CH20" s="376"/>
      <c r="CI20" s="376"/>
      <c r="CJ20" s="376"/>
      <c r="CK20" s="376"/>
      <c r="CL20" s="373"/>
      <c r="CM20" s="199">
        <f t="shared" si="14"/>
        <v>0</v>
      </c>
      <c r="CN20" s="39"/>
      <c r="CO20" s="3"/>
      <c r="CP20" s="137">
        <f t="shared" si="15"/>
        <v>0</v>
      </c>
      <c r="CQ20" s="3"/>
      <c r="CR20" s="137">
        <f t="shared" si="16"/>
        <v>0</v>
      </c>
      <c r="CT20" s="137">
        <f t="shared" si="17"/>
        <v>0</v>
      </c>
    </row>
    <row r="21" spans="1:98" ht="15" customHeight="1" x14ac:dyDescent="0.2">
      <c r="A21" s="382"/>
      <c r="B21" s="440"/>
      <c r="C21" s="196" t="s">
        <v>30</v>
      </c>
      <c r="D21" s="201" t="s">
        <v>357</v>
      </c>
      <c r="E21" s="202"/>
      <c r="F21" s="322"/>
      <c r="H21" s="43"/>
      <c r="I21" s="24"/>
      <c r="J21" s="24"/>
      <c r="K21" s="24"/>
      <c r="L21" s="330"/>
      <c r="M21" s="114">
        <f>SUM(H21:L21)</f>
        <v>0</v>
      </c>
      <c r="N21" s="198">
        <v>1</v>
      </c>
      <c r="O21" s="199">
        <f t="shared" si="0"/>
        <v>0</v>
      </c>
      <c r="P21" s="379"/>
      <c r="Q21" s="376"/>
      <c r="R21" s="376"/>
      <c r="S21" s="376"/>
      <c r="T21" s="376"/>
      <c r="U21" s="376"/>
      <c r="V21" s="373"/>
      <c r="W21" s="199">
        <f t="shared" si="1"/>
        <v>0</v>
      </c>
      <c r="Y21" s="43"/>
      <c r="Z21" s="24"/>
      <c r="AA21" s="24"/>
      <c r="AB21" s="24"/>
      <c r="AC21" s="25"/>
      <c r="AD21" s="114">
        <f t="shared" si="10"/>
        <v>0</v>
      </c>
      <c r="AE21" s="198">
        <v>1</v>
      </c>
      <c r="AF21" s="199">
        <f t="shared" si="2"/>
        <v>0</v>
      </c>
      <c r="AG21" s="379"/>
      <c r="AH21" s="376"/>
      <c r="AI21" s="376"/>
      <c r="AJ21" s="376"/>
      <c r="AK21" s="376"/>
      <c r="AL21" s="376"/>
      <c r="AM21" s="373"/>
      <c r="AN21" s="199">
        <f t="shared" si="3"/>
        <v>0</v>
      </c>
      <c r="AP21" s="43"/>
      <c r="AQ21" s="24"/>
      <c r="AR21" s="24"/>
      <c r="AS21" s="24"/>
      <c r="AT21" s="25"/>
      <c r="AU21" s="114">
        <f t="shared" si="11"/>
        <v>0</v>
      </c>
      <c r="AV21" s="198">
        <v>1</v>
      </c>
      <c r="AW21" s="199">
        <f t="shared" si="4"/>
        <v>0</v>
      </c>
      <c r="AX21" s="379"/>
      <c r="AY21" s="376"/>
      <c r="AZ21" s="376"/>
      <c r="BA21" s="376"/>
      <c r="BB21" s="376"/>
      <c r="BC21" s="376"/>
      <c r="BD21" s="373"/>
      <c r="BE21" s="199">
        <f t="shared" si="5"/>
        <v>0</v>
      </c>
      <c r="BG21" s="43"/>
      <c r="BH21" s="24"/>
      <c r="BI21" s="24"/>
      <c r="BJ21" s="24"/>
      <c r="BK21" s="25"/>
      <c r="BL21" s="114">
        <f t="shared" si="12"/>
        <v>0</v>
      </c>
      <c r="BM21" s="198">
        <v>1</v>
      </c>
      <c r="BN21" s="199">
        <f t="shared" si="6"/>
        <v>0</v>
      </c>
      <c r="BO21" s="379"/>
      <c r="BP21" s="376"/>
      <c r="BQ21" s="376"/>
      <c r="BR21" s="376"/>
      <c r="BS21" s="376"/>
      <c r="BT21" s="376"/>
      <c r="BU21" s="373"/>
      <c r="BV21" s="199">
        <f t="shared" si="7"/>
        <v>0</v>
      </c>
      <c r="BX21" s="43"/>
      <c r="BY21" s="24"/>
      <c r="BZ21" s="24"/>
      <c r="CA21" s="24"/>
      <c r="CB21" s="25"/>
      <c r="CC21" s="114">
        <f t="shared" si="13"/>
        <v>0</v>
      </c>
      <c r="CD21" s="198">
        <v>1</v>
      </c>
      <c r="CE21" s="199">
        <f t="shared" si="8"/>
        <v>0</v>
      </c>
      <c r="CF21" s="379"/>
      <c r="CG21" s="376"/>
      <c r="CH21" s="376"/>
      <c r="CI21" s="376"/>
      <c r="CJ21" s="376"/>
      <c r="CK21" s="376"/>
      <c r="CL21" s="373"/>
      <c r="CM21" s="199">
        <f t="shared" si="14"/>
        <v>0</v>
      </c>
      <c r="CN21" s="39"/>
      <c r="CO21" s="3"/>
      <c r="CP21" s="137">
        <f t="shared" si="15"/>
        <v>0</v>
      </c>
      <c r="CQ21" s="3"/>
      <c r="CR21" s="137">
        <f t="shared" si="16"/>
        <v>0</v>
      </c>
      <c r="CT21" s="137">
        <f t="shared" si="17"/>
        <v>0</v>
      </c>
    </row>
    <row r="22" spans="1:98" ht="15" customHeight="1" x14ac:dyDescent="0.2">
      <c r="A22" s="382"/>
      <c r="B22" s="440"/>
      <c r="C22" s="196" t="s">
        <v>31</v>
      </c>
      <c r="D22" s="204" t="s">
        <v>215</v>
      </c>
      <c r="E22" s="205" t="s">
        <v>10</v>
      </c>
      <c r="F22" s="323"/>
      <c r="H22" s="43"/>
      <c r="I22" s="24"/>
      <c r="J22" s="24"/>
      <c r="K22" s="24"/>
      <c r="L22" s="330"/>
      <c r="M22" s="114"/>
      <c r="N22" s="207"/>
      <c r="O22" s="199">
        <f>SUM(H22:L22)</f>
        <v>0</v>
      </c>
      <c r="P22" s="379"/>
      <c r="Q22" s="376"/>
      <c r="R22" s="376"/>
      <c r="S22" s="376"/>
      <c r="T22" s="376"/>
      <c r="U22" s="376"/>
      <c r="V22" s="373"/>
      <c r="W22" s="199">
        <f t="shared" si="1"/>
        <v>0</v>
      </c>
      <c r="Y22" s="43"/>
      <c r="Z22" s="24"/>
      <c r="AA22" s="24"/>
      <c r="AB22" s="24"/>
      <c r="AC22" s="25"/>
      <c r="AD22" s="114"/>
      <c r="AE22" s="207"/>
      <c r="AF22" s="199">
        <f>SUM(Y22:AC22)</f>
        <v>0</v>
      </c>
      <c r="AG22" s="379"/>
      <c r="AH22" s="376"/>
      <c r="AI22" s="376"/>
      <c r="AJ22" s="376"/>
      <c r="AK22" s="376"/>
      <c r="AL22" s="376"/>
      <c r="AM22" s="373"/>
      <c r="AN22" s="199">
        <f t="shared" si="3"/>
        <v>0</v>
      </c>
      <c r="AP22" s="43"/>
      <c r="AQ22" s="24"/>
      <c r="AR22" s="24"/>
      <c r="AS22" s="24"/>
      <c r="AT22" s="25"/>
      <c r="AU22" s="114"/>
      <c r="AV22" s="207"/>
      <c r="AW22" s="199">
        <f>SUM(AP22:AT22)</f>
        <v>0</v>
      </c>
      <c r="AX22" s="379"/>
      <c r="AY22" s="376"/>
      <c r="AZ22" s="376"/>
      <c r="BA22" s="376"/>
      <c r="BB22" s="376"/>
      <c r="BC22" s="376"/>
      <c r="BD22" s="373"/>
      <c r="BE22" s="199">
        <f t="shared" si="5"/>
        <v>0</v>
      </c>
      <c r="BG22" s="43"/>
      <c r="BH22" s="24"/>
      <c r="BI22" s="24"/>
      <c r="BJ22" s="24"/>
      <c r="BK22" s="25"/>
      <c r="BL22" s="114"/>
      <c r="BM22" s="207"/>
      <c r="BN22" s="199">
        <f>SUM(BG22:BK22)</f>
        <v>0</v>
      </c>
      <c r="BO22" s="379"/>
      <c r="BP22" s="376"/>
      <c r="BQ22" s="376"/>
      <c r="BR22" s="376"/>
      <c r="BS22" s="376"/>
      <c r="BT22" s="376"/>
      <c r="BU22" s="373"/>
      <c r="BV22" s="199">
        <f t="shared" si="7"/>
        <v>0</v>
      </c>
      <c r="BX22" s="43"/>
      <c r="BY22" s="24"/>
      <c r="BZ22" s="24"/>
      <c r="CA22" s="24"/>
      <c r="CB22" s="25"/>
      <c r="CC22" s="114"/>
      <c r="CD22" s="207"/>
      <c r="CE22" s="199">
        <f>SUM(BX22:CB22)</f>
        <v>0</v>
      </c>
      <c r="CF22" s="379"/>
      <c r="CG22" s="376"/>
      <c r="CH22" s="376"/>
      <c r="CI22" s="376"/>
      <c r="CJ22" s="376"/>
      <c r="CK22" s="376"/>
      <c r="CL22" s="373"/>
      <c r="CM22" s="199">
        <f t="shared" si="14"/>
        <v>0</v>
      </c>
      <c r="CN22" s="39"/>
      <c r="CO22" s="3"/>
      <c r="CP22" s="137">
        <f t="shared" si="15"/>
        <v>0</v>
      </c>
      <c r="CQ22" s="3"/>
      <c r="CR22" s="137">
        <f t="shared" si="16"/>
        <v>0</v>
      </c>
      <c r="CT22" s="137">
        <f t="shared" si="17"/>
        <v>0</v>
      </c>
    </row>
    <row r="23" spans="1:98" ht="15" customHeight="1" x14ac:dyDescent="0.2">
      <c r="A23" s="382"/>
      <c r="B23" s="440"/>
      <c r="C23" s="196" t="s">
        <v>32</v>
      </c>
      <c r="D23" s="208" t="s">
        <v>215</v>
      </c>
      <c r="E23" s="205" t="s">
        <v>10</v>
      </c>
      <c r="F23" s="323"/>
      <c r="H23" s="43"/>
      <c r="I23" s="24"/>
      <c r="J23" s="24"/>
      <c r="K23" s="24"/>
      <c r="L23" s="330"/>
      <c r="M23" s="114"/>
      <c r="N23" s="207"/>
      <c r="O23" s="199">
        <f>SUM(H23:L23)</f>
        <v>0</v>
      </c>
      <c r="P23" s="380"/>
      <c r="Q23" s="377"/>
      <c r="R23" s="377"/>
      <c r="S23" s="377"/>
      <c r="T23" s="377"/>
      <c r="U23" s="377"/>
      <c r="V23" s="374"/>
      <c r="W23" s="199">
        <f t="shared" si="1"/>
        <v>0</v>
      </c>
      <c r="Y23" s="43"/>
      <c r="Z23" s="24"/>
      <c r="AA23" s="24"/>
      <c r="AB23" s="24"/>
      <c r="AC23" s="25"/>
      <c r="AD23" s="114"/>
      <c r="AE23" s="207"/>
      <c r="AF23" s="199">
        <f>SUM(Y23:AC23)</f>
        <v>0</v>
      </c>
      <c r="AG23" s="380"/>
      <c r="AH23" s="377"/>
      <c r="AI23" s="377"/>
      <c r="AJ23" s="377"/>
      <c r="AK23" s="377"/>
      <c r="AL23" s="377"/>
      <c r="AM23" s="374"/>
      <c r="AN23" s="199">
        <f t="shared" si="3"/>
        <v>0</v>
      </c>
      <c r="AP23" s="43"/>
      <c r="AQ23" s="24"/>
      <c r="AR23" s="24"/>
      <c r="AS23" s="24"/>
      <c r="AT23" s="25"/>
      <c r="AU23" s="114"/>
      <c r="AV23" s="207"/>
      <c r="AW23" s="199">
        <f>SUM(AP23:AT23)</f>
        <v>0</v>
      </c>
      <c r="AX23" s="380"/>
      <c r="AY23" s="377"/>
      <c r="AZ23" s="377"/>
      <c r="BA23" s="377"/>
      <c r="BB23" s="377"/>
      <c r="BC23" s="377"/>
      <c r="BD23" s="374"/>
      <c r="BE23" s="199">
        <f t="shared" si="5"/>
        <v>0</v>
      </c>
      <c r="BG23" s="43"/>
      <c r="BH23" s="24"/>
      <c r="BI23" s="24"/>
      <c r="BJ23" s="24"/>
      <c r="BK23" s="25"/>
      <c r="BL23" s="114"/>
      <c r="BM23" s="207"/>
      <c r="BN23" s="199">
        <f>SUM(BG23:BK23)</f>
        <v>0</v>
      </c>
      <c r="BO23" s="380"/>
      <c r="BP23" s="377"/>
      <c r="BQ23" s="377"/>
      <c r="BR23" s="377"/>
      <c r="BS23" s="377"/>
      <c r="BT23" s="377"/>
      <c r="BU23" s="374"/>
      <c r="BV23" s="199">
        <f t="shared" si="7"/>
        <v>0</v>
      </c>
      <c r="BX23" s="43"/>
      <c r="BY23" s="24"/>
      <c r="BZ23" s="24"/>
      <c r="CA23" s="24"/>
      <c r="CB23" s="25"/>
      <c r="CC23" s="114"/>
      <c r="CD23" s="207"/>
      <c r="CE23" s="199">
        <f>SUM(BX23:CB23)</f>
        <v>0</v>
      </c>
      <c r="CF23" s="380"/>
      <c r="CG23" s="377"/>
      <c r="CH23" s="377"/>
      <c r="CI23" s="377"/>
      <c r="CJ23" s="377"/>
      <c r="CK23" s="377"/>
      <c r="CL23" s="374"/>
      <c r="CM23" s="199">
        <f t="shared" si="14"/>
        <v>0</v>
      </c>
      <c r="CN23" s="39"/>
      <c r="CO23" s="3"/>
      <c r="CP23" s="137">
        <f t="shared" si="15"/>
        <v>0</v>
      </c>
      <c r="CQ23" s="3"/>
      <c r="CR23" s="137">
        <f t="shared" si="16"/>
        <v>0</v>
      </c>
      <c r="CT23" s="137">
        <f t="shared" si="17"/>
        <v>0</v>
      </c>
    </row>
    <row r="24" spans="1:98" ht="15" customHeight="1" thickBot="1" x14ac:dyDescent="0.25">
      <c r="A24" s="383"/>
      <c r="B24" s="209"/>
      <c r="C24" s="210"/>
      <c r="D24" s="211" t="s">
        <v>22</v>
      </c>
      <c r="E24" s="210"/>
      <c r="F24" s="324"/>
      <c r="H24" s="138"/>
      <c r="I24" s="139"/>
      <c r="J24" s="139"/>
      <c r="K24" s="139"/>
      <c r="L24" s="331"/>
      <c r="M24" s="213"/>
      <c r="N24" s="214"/>
      <c r="O24" s="215">
        <f>SUM(O7:O23)</f>
        <v>4.9138424254144324</v>
      </c>
      <c r="P24" s="216"/>
      <c r="Q24" s="216"/>
      <c r="R24" s="216"/>
      <c r="S24" s="216"/>
      <c r="T24" s="216"/>
      <c r="U24" s="216"/>
      <c r="V24" s="214"/>
      <c r="W24" s="215">
        <f>SUM(W7:W23)</f>
        <v>6.652512935821</v>
      </c>
      <c r="Y24" s="138"/>
      <c r="Z24" s="139"/>
      <c r="AA24" s="139"/>
      <c r="AB24" s="139"/>
      <c r="AC24" s="139"/>
      <c r="AD24" s="213"/>
      <c r="AE24" s="214"/>
      <c r="AF24" s="215">
        <f>SUM(AF7:AF23)</f>
        <v>273.37717942638295</v>
      </c>
      <c r="AG24" s="216"/>
      <c r="AH24" s="216"/>
      <c r="AI24" s="216"/>
      <c r="AJ24" s="216"/>
      <c r="AK24" s="216"/>
      <c r="AL24" s="216"/>
      <c r="AM24" s="214"/>
      <c r="AN24" s="215">
        <f>SUM(AN7:AN23)</f>
        <v>370.10654087852379</v>
      </c>
      <c r="AP24" s="138"/>
      <c r="AQ24" s="139"/>
      <c r="AR24" s="139"/>
      <c r="AS24" s="139"/>
      <c r="AT24" s="139"/>
      <c r="AU24" s="213"/>
      <c r="AV24" s="214"/>
      <c r="AW24" s="215">
        <f>SUM(AW7:AW23)</f>
        <v>1.8899393943901661</v>
      </c>
      <c r="AX24" s="216"/>
      <c r="AY24" s="216"/>
      <c r="AZ24" s="216"/>
      <c r="BA24" s="216"/>
      <c r="BB24" s="216"/>
      <c r="BC24" s="216"/>
      <c r="BD24" s="214"/>
      <c r="BE24" s="215">
        <f>SUM(BE7:BE23)</f>
        <v>2.5586588214696149</v>
      </c>
      <c r="BG24" s="138"/>
      <c r="BH24" s="139"/>
      <c r="BI24" s="139"/>
      <c r="BJ24" s="139"/>
      <c r="BK24" s="139"/>
      <c r="BL24" s="213"/>
      <c r="BM24" s="214"/>
      <c r="BN24" s="215">
        <f>SUM(BN7:BN23)</f>
        <v>0</v>
      </c>
      <c r="BO24" s="216"/>
      <c r="BP24" s="216"/>
      <c r="BQ24" s="216"/>
      <c r="BR24" s="216"/>
      <c r="BS24" s="216"/>
      <c r="BT24" s="216"/>
      <c r="BU24" s="214"/>
      <c r="BV24" s="215">
        <f>SUM(BV7:BV23)</f>
        <v>0</v>
      </c>
      <c r="BX24" s="138"/>
      <c r="BY24" s="139"/>
      <c r="BZ24" s="139"/>
      <c r="CA24" s="139"/>
      <c r="CB24" s="139"/>
      <c r="CC24" s="213"/>
      <c r="CD24" s="214"/>
      <c r="CE24" s="215">
        <f>SUM(CE7:CE23)</f>
        <v>0</v>
      </c>
      <c r="CF24" s="216"/>
      <c r="CG24" s="216"/>
      <c r="CH24" s="216"/>
      <c r="CI24" s="216"/>
      <c r="CJ24" s="216"/>
      <c r="CK24" s="216"/>
      <c r="CL24" s="214"/>
      <c r="CM24" s="215">
        <f>SUM(CM7:CM23)</f>
        <v>0</v>
      </c>
      <c r="CN24" s="39"/>
      <c r="CO24" s="3"/>
      <c r="CP24" s="217">
        <f>SUM(CP7:CP23)</f>
        <v>280.18096124618756</v>
      </c>
      <c r="CQ24" s="3"/>
      <c r="CR24" s="217">
        <f>SUM(CR7:CR23)</f>
        <v>379.31771263581442</v>
      </c>
      <c r="CT24" s="217"/>
    </row>
    <row r="25" spans="1:98" ht="15" customHeight="1" x14ac:dyDescent="0.2">
      <c r="A25" s="384" t="s">
        <v>404</v>
      </c>
      <c r="B25" s="435" t="s">
        <v>306</v>
      </c>
      <c r="C25" s="190" t="s">
        <v>143</v>
      </c>
      <c r="D25" s="191" t="s">
        <v>116</v>
      </c>
      <c r="E25" s="190" t="s">
        <v>5</v>
      </c>
      <c r="F25" s="300">
        <f>F1*(1.8*(1.014*1.012*1.015)*1.1/1.18)*1.028</f>
        <v>1.8388599512985397</v>
      </c>
      <c r="H25" s="41"/>
      <c r="I25" s="46"/>
      <c r="J25" s="46"/>
      <c r="K25" s="46"/>
      <c r="L25" s="47"/>
      <c r="M25" s="218">
        <f>SUM(H25:L25)</f>
        <v>0</v>
      </c>
      <c r="N25" s="193">
        <v>1</v>
      </c>
      <c r="O25" s="219">
        <f t="shared" ref="O25:O38" si="18">$F25*M25*N25</f>
        <v>0</v>
      </c>
      <c r="P25" s="378">
        <f>VLOOKUP(P5,'Databaze rizik'!$K$2:$Z$6,3,FALSE)/100+1</f>
        <v>1.08</v>
      </c>
      <c r="Q25" s="375">
        <f>VLOOKUP(Q5,'Databaze rizik'!$K$21:$Z$25,3,FALSE)/100+1</f>
        <v>1.17</v>
      </c>
      <c r="R25" s="375">
        <f>VLOOKUP(R5,'Databaze rizik'!$K$41:$Z$45,3,FALSE)/100+1</f>
        <v>1</v>
      </c>
      <c r="S25" s="375">
        <f>VLOOKUP(S5,'Databaze rizik'!$K$61:$Z$66,3,FALSE)/100+1</f>
        <v>1.02</v>
      </c>
      <c r="T25" s="375">
        <f>VLOOKUP(T5,'Databaze rizik'!$K$81:$Z$85,3,FALSE)/100+1</f>
        <v>1.04</v>
      </c>
      <c r="U25" s="375">
        <f>VLOOKUP(U5,'Databaze rizik'!$K$101:$Z$105,3,FALSE)/100+1</f>
        <v>1.01</v>
      </c>
      <c r="V25" s="372">
        <f t="shared" ref="V25" si="19">P25*Q25*R25*S25*T25*U25</f>
        <v>1.3538311488000001</v>
      </c>
      <c r="W25" s="194">
        <f t="shared" ref="W25:W40" si="20">O25*V$25</f>
        <v>0</v>
      </c>
      <c r="Y25" s="41">
        <v>1</v>
      </c>
      <c r="Z25" s="46"/>
      <c r="AA25" s="46"/>
      <c r="AB25" s="46"/>
      <c r="AC25" s="47"/>
      <c r="AD25" s="218">
        <f>SUM(Y25:AC25)</f>
        <v>1</v>
      </c>
      <c r="AE25" s="193">
        <v>1</v>
      </c>
      <c r="AF25" s="219">
        <f t="shared" ref="AF25:AF38" si="21">$F25*AD25*AE25</f>
        <v>1.8388599512985397</v>
      </c>
      <c r="AG25" s="378">
        <f>VLOOKUP(AG5,'Databaze rizik'!$K$2:$Z$6,3,FALSE)/100+1</f>
        <v>1.08</v>
      </c>
      <c r="AH25" s="375">
        <f>VLOOKUP(AH5,'Databaze rizik'!$K$21:$Z$25,3,FALSE)/100+1</f>
        <v>1.17</v>
      </c>
      <c r="AI25" s="375">
        <f>VLOOKUP(AI5,'Databaze rizik'!$K$41:$Z$45,3,FALSE)/100+1</f>
        <v>1</v>
      </c>
      <c r="AJ25" s="375">
        <f>VLOOKUP(AJ5,'Databaze rizik'!$K$61:$Z$66,3,FALSE)/100+1</f>
        <v>1.02</v>
      </c>
      <c r="AK25" s="375">
        <f>VLOOKUP(AK5,'Databaze rizik'!$K$81:$Z$85,3,FALSE)/100+1</f>
        <v>1.04</v>
      </c>
      <c r="AL25" s="375">
        <f>VLOOKUP(AL5,'Databaze rizik'!$K$101:$Z$105,3,FALSE)/100+1</f>
        <v>1.01</v>
      </c>
      <c r="AM25" s="372">
        <f t="shared" ref="AM25" si="22">AG25*AH25*AI25*AJ25*AK25*AL25</f>
        <v>1.3538311488000001</v>
      </c>
      <c r="AN25" s="194">
        <f t="shared" ref="AN25:AN40" si="23">AF25*AM$25</f>
        <v>2.4895058803488141</v>
      </c>
      <c r="AP25" s="41"/>
      <c r="AQ25" s="46"/>
      <c r="AR25" s="46"/>
      <c r="AS25" s="46"/>
      <c r="AT25" s="47"/>
      <c r="AU25" s="218">
        <f>SUM(AP25:AT25)</f>
        <v>0</v>
      </c>
      <c r="AV25" s="193">
        <v>1</v>
      </c>
      <c r="AW25" s="219">
        <f t="shared" ref="AW25:AW38" si="24">$F25*AU25*AV25</f>
        <v>0</v>
      </c>
      <c r="AX25" s="378">
        <f>VLOOKUP(AX5,'Databaze rizik'!$K$2:$Z$6,3,FALSE)/100+1</f>
        <v>1.08</v>
      </c>
      <c r="AY25" s="375">
        <f>VLOOKUP(AY5,'Databaze rizik'!$K$21:$Z$25,3,FALSE)/100+1</f>
        <v>1.17</v>
      </c>
      <c r="AZ25" s="375">
        <f>VLOOKUP(AZ5,'Databaze rizik'!$K$41:$Z$45,3,FALSE)/100+1</f>
        <v>1</v>
      </c>
      <c r="BA25" s="375">
        <f>VLOOKUP(BA5,'Databaze rizik'!$K$61:$Z$66,3,FALSE)/100+1</f>
        <v>1.02</v>
      </c>
      <c r="BB25" s="375">
        <f>VLOOKUP(BB5,'Databaze rizik'!$K$81:$Z$85,3,FALSE)/100+1</f>
        <v>1.04</v>
      </c>
      <c r="BC25" s="375">
        <f>VLOOKUP(BC5,'Databaze rizik'!$K$101:$Z$105,3,FALSE)/100+1</f>
        <v>1.01</v>
      </c>
      <c r="BD25" s="372">
        <f t="shared" ref="BD25" si="25">AX25*AY25*AZ25*BA25*BB25*BC25</f>
        <v>1.3538311488000001</v>
      </c>
      <c r="BE25" s="194">
        <f t="shared" ref="BE25:BE40" si="26">AW25*BD$25</f>
        <v>0</v>
      </c>
      <c r="BG25" s="41"/>
      <c r="BH25" s="46"/>
      <c r="BI25" s="46"/>
      <c r="BJ25" s="46"/>
      <c r="BK25" s="47"/>
      <c r="BL25" s="218">
        <f>SUM(BG25:BK25)</f>
        <v>0</v>
      </c>
      <c r="BM25" s="193">
        <v>1</v>
      </c>
      <c r="BN25" s="219">
        <f t="shared" ref="BN25:BN38" si="27">$F25*BL25*BM25</f>
        <v>0</v>
      </c>
      <c r="BO25" s="378">
        <f>VLOOKUP(BO5,'Databaze rizik'!$K$2:$Z$6,3,FALSE)/100+1</f>
        <v>1</v>
      </c>
      <c r="BP25" s="375">
        <f>VLOOKUP(BP5,'Databaze rizik'!$K$21:$Z$25,3,FALSE)/100+1</f>
        <v>1</v>
      </c>
      <c r="BQ25" s="375">
        <f>VLOOKUP(BQ5,'Databaze rizik'!$K$41:$Z$45,3,FALSE)/100+1</f>
        <v>1</v>
      </c>
      <c r="BR25" s="375">
        <f>VLOOKUP(BR5,'Databaze rizik'!$K$61:$Z$66,3,FALSE)/100+1</f>
        <v>1.02</v>
      </c>
      <c r="BS25" s="375">
        <f>VLOOKUP(BS5,'Databaze rizik'!$K$81:$Z$85,3,FALSE)/100+1</f>
        <v>1.04</v>
      </c>
      <c r="BT25" s="375">
        <f>VLOOKUP(BT5,'Databaze rizik'!$K$101:$Z$105,3,FALSE)/100+1</f>
        <v>1.01</v>
      </c>
      <c r="BU25" s="372">
        <f t="shared" ref="BU25" si="28">BO25*BP25*BQ25*BR25*BS25*BT25</f>
        <v>1.0714079999999999</v>
      </c>
      <c r="BV25" s="194">
        <f t="shared" ref="BV25:BV40" si="29">BN25*BU$25</f>
        <v>0</v>
      </c>
      <c r="BX25" s="41"/>
      <c r="BY25" s="46"/>
      <c r="BZ25" s="46"/>
      <c r="CA25" s="46"/>
      <c r="CB25" s="47"/>
      <c r="CC25" s="218">
        <f>SUM(BX25:CB25)</f>
        <v>0</v>
      </c>
      <c r="CD25" s="193">
        <v>1</v>
      </c>
      <c r="CE25" s="219">
        <f t="shared" ref="CE25:CE38" si="30">$F25*CC25*CD25</f>
        <v>0</v>
      </c>
      <c r="CF25" s="378">
        <f>VLOOKUP(CF5,'Databaze rizik'!$K$2:$Z$6,3,FALSE)/100+1</f>
        <v>1</v>
      </c>
      <c r="CG25" s="375">
        <f>VLOOKUP(CG5,'Databaze rizik'!$K$21:$Z$25,3,FALSE)/100+1</f>
        <v>1</v>
      </c>
      <c r="CH25" s="375">
        <f>VLOOKUP(CH5,'Databaze rizik'!$K$41:$Z$45,3,FALSE)/100+1</f>
        <v>1</v>
      </c>
      <c r="CI25" s="375">
        <f>VLOOKUP(CI5,'Databaze rizik'!$K$61:$Z$66,3,FALSE)/100+1</f>
        <v>1.02</v>
      </c>
      <c r="CJ25" s="375">
        <f>VLOOKUP(CJ5,'Databaze rizik'!$K$81:$Z$85,3,FALSE)/100+1</f>
        <v>1.04</v>
      </c>
      <c r="CK25" s="375">
        <f>VLOOKUP(CK5,'Databaze rizik'!$K$101:$Z$105,3,FALSE)/100+1</f>
        <v>1.01</v>
      </c>
      <c r="CL25" s="372">
        <f t="shared" ref="CL25" si="31">CF25*CG25*CH25*CI25*CJ25*CK25</f>
        <v>1.0714079999999999</v>
      </c>
      <c r="CM25" s="194">
        <f t="shared" ref="CM25:CM40" si="32">CE25*CL$25</f>
        <v>0</v>
      </c>
      <c r="CN25" s="39"/>
      <c r="CO25" s="3"/>
      <c r="CP25" s="143">
        <f t="shared" ref="CP25:CP40" si="33">SUMIF(H$1:CM$1,1,H25:CM25)</f>
        <v>1.8388599512985397</v>
      </c>
      <c r="CQ25" s="3"/>
      <c r="CR25" s="143">
        <f t="shared" ref="CR25:CR40" si="34">SUMIF(H$1:CM$1,2,H25:CM25)</f>
        <v>2.4895058803488141</v>
      </c>
      <c r="CT25" s="143">
        <f t="shared" si="17"/>
        <v>1</v>
      </c>
    </row>
    <row r="26" spans="1:98" ht="15" customHeight="1" x14ac:dyDescent="0.2">
      <c r="A26" s="382"/>
      <c r="B26" s="435"/>
      <c r="C26" s="196" t="s">
        <v>144</v>
      </c>
      <c r="D26" s="197" t="s">
        <v>304</v>
      </c>
      <c r="E26" s="196" t="s">
        <v>3</v>
      </c>
      <c r="F26" s="301">
        <f>F1*(12*(1.014*1.012*1.015)*1.1/1.18)*1.028</f>
        <v>12.259066341990263</v>
      </c>
      <c r="H26" s="43"/>
      <c r="I26" s="24"/>
      <c r="J26" s="24"/>
      <c r="K26" s="24"/>
      <c r="L26" s="25"/>
      <c r="M26" s="114">
        <f t="shared" ref="M26:M38" si="35">SUM(H26:L26)</f>
        <v>0</v>
      </c>
      <c r="N26" s="198">
        <v>1</v>
      </c>
      <c r="O26" s="199">
        <f t="shared" si="18"/>
        <v>0</v>
      </c>
      <c r="P26" s="379"/>
      <c r="Q26" s="376"/>
      <c r="R26" s="376"/>
      <c r="S26" s="376"/>
      <c r="T26" s="376"/>
      <c r="U26" s="376"/>
      <c r="V26" s="373"/>
      <c r="W26" s="199">
        <f t="shared" si="20"/>
        <v>0</v>
      </c>
      <c r="Y26" s="43">
        <v>1</v>
      </c>
      <c r="Z26" s="24"/>
      <c r="AA26" s="24"/>
      <c r="AB26" s="24"/>
      <c r="AC26" s="25"/>
      <c r="AD26" s="114">
        <f t="shared" ref="AD26:AD38" si="36">SUM(Y26:AC26)</f>
        <v>1</v>
      </c>
      <c r="AE26" s="198">
        <v>1</v>
      </c>
      <c r="AF26" s="199">
        <f t="shared" si="21"/>
        <v>12.259066341990263</v>
      </c>
      <c r="AG26" s="379"/>
      <c r="AH26" s="376"/>
      <c r="AI26" s="376"/>
      <c r="AJ26" s="376"/>
      <c r="AK26" s="376"/>
      <c r="AL26" s="376"/>
      <c r="AM26" s="373"/>
      <c r="AN26" s="199">
        <f t="shared" si="23"/>
        <v>16.596705868992093</v>
      </c>
      <c r="AP26" s="43"/>
      <c r="AQ26" s="24"/>
      <c r="AR26" s="24"/>
      <c r="AS26" s="24"/>
      <c r="AT26" s="25"/>
      <c r="AU26" s="114">
        <f t="shared" ref="AU26:AU38" si="37">SUM(AP26:AT26)</f>
        <v>0</v>
      </c>
      <c r="AV26" s="198">
        <v>1</v>
      </c>
      <c r="AW26" s="199">
        <f t="shared" si="24"/>
        <v>0</v>
      </c>
      <c r="AX26" s="379"/>
      <c r="AY26" s="376"/>
      <c r="AZ26" s="376"/>
      <c r="BA26" s="376"/>
      <c r="BB26" s="376"/>
      <c r="BC26" s="376"/>
      <c r="BD26" s="373"/>
      <c r="BE26" s="199">
        <f t="shared" si="26"/>
        <v>0</v>
      </c>
      <c r="BG26" s="43"/>
      <c r="BH26" s="24"/>
      <c r="BI26" s="24"/>
      <c r="BJ26" s="24"/>
      <c r="BK26" s="25"/>
      <c r="BL26" s="114">
        <f t="shared" ref="BL26:BL38" si="38">SUM(BG26:BK26)</f>
        <v>0</v>
      </c>
      <c r="BM26" s="198">
        <v>1</v>
      </c>
      <c r="BN26" s="199">
        <f t="shared" si="27"/>
        <v>0</v>
      </c>
      <c r="BO26" s="379"/>
      <c r="BP26" s="376"/>
      <c r="BQ26" s="376"/>
      <c r="BR26" s="376"/>
      <c r="BS26" s="376"/>
      <c r="BT26" s="376"/>
      <c r="BU26" s="373"/>
      <c r="BV26" s="199">
        <f t="shared" si="29"/>
        <v>0</v>
      </c>
      <c r="BX26" s="43"/>
      <c r="BY26" s="24"/>
      <c r="BZ26" s="24"/>
      <c r="CA26" s="24"/>
      <c r="CB26" s="25"/>
      <c r="CC26" s="114">
        <f t="shared" ref="CC26:CC38" si="39">SUM(BX26:CB26)</f>
        <v>0</v>
      </c>
      <c r="CD26" s="198">
        <v>1</v>
      </c>
      <c r="CE26" s="199">
        <f t="shared" si="30"/>
        <v>0</v>
      </c>
      <c r="CF26" s="379"/>
      <c r="CG26" s="376"/>
      <c r="CH26" s="376"/>
      <c r="CI26" s="376"/>
      <c r="CJ26" s="376"/>
      <c r="CK26" s="376"/>
      <c r="CL26" s="373"/>
      <c r="CM26" s="199">
        <f t="shared" si="32"/>
        <v>0</v>
      </c>
      <c r="CN26" s="39"/>
      <c r="CO26" s="3"/>
      <c r="CP26" s="137">
        <f t="shared" si="33"/>
        <v>12.259066341990263</v>
      </c>
      <c r="CQ26" s="3"/>
      <c r="CR26" s="137">
        <f t="shared" si="34"/>
        <v>16.596705868992093</v>
      </c>
      <c r="CT26" s="137">
        <f t="shared" si="17"/>
        <v>1</v>
      </c>
    </row>
    <row r="27" spans="1:98" ht="15" customHeight="1" x14ac:dyDescent="0.2">
      <c r="A27" s="382"/>
      <c r="B27" s="435"/>
      <c r="C27" s="196" t="s">
        <v>145</v>
      </c>
      <c r="D27" s="197" t="s">
        <v>305</v>
      </c>
      <c r="E27" s="196" t="s">
        <v>3</v>
      </c>
      <c r="F27" s="301">
        <f>F1*(5*(1.014*1.012*1.015)*1.1/1.18)*1.028</f>
        <v>5.1079443091626109</v>
      </c>
      <c r="H27" s="43">
        <v>1</v>
      </c>
      <c r="I27" s="24"/>
      <c r="J27" s="24"/>
      <c r="K27" s="24"/>
      <c r="L27" s="25"/>
      <c r="M27" s="114">
        <f t="shared" si="35"/>
        <v>1</v>
      </c>
      <c r="N27" s="198">
        <v>1</v>
      </c>
      <c r="O27" s="199">
        <f t="shared" si="18"/>
        <v>5.1079443091626109</v>
      </c>
      <c r="P27" s="379"/>
      <c r="Q27" s="376"/>
      <c r="R27" s="376"/>
      <c r="S27" s="376"/>
      <c r="T27" s="376"/>
      <c r="U27" s="376"/>
      <c r="V27" s="373"/>
      <c r="W27" s="199">
        <f t="shared" si="20"/>
        <v>6.9152941120800406</v>
      </c>
      <c r="Y27" s="43"/>
      <c r="Z27" s="24"/>
      <c r="AA27" s="24"/>
      <c r="AB27" s="24"/>
      <c r="AC27" s="25"/>
      <c r="AD27" s="114">
        <f t="shared" si="36"/>
        <v>0</v>
      </c>
      <c r="AE27" s="198">
        <v>1</v>
      </c>
      <c r="AF27" s="199">
        <f t="shared" si="21"/>
        <v>0</v>
      </c>
      <c r="AG27" s="379"/>
      <c r="AH27" s="376"/>
      <c r="AI27" s="376"/>
      <c r="AJ27" s="376"/>
      <c r="AK27" s="376"/>
      <c r="AL27" s="376"/>
      <c r="AM27" s="373"/>
      <c r="AN27" s="199">
        <f t="shared" si="23"/>
        <v>0</v>
      </c>
      <c r="AP27" s="43"/>
      <c r="AQ27" s="24"/>
      <c r="AR27" s="24"/>
      <c r="AS27" s="24"/>
      <c r="AT27" s="25"/>
      <c r="AU27" s="114">
        <f t="shared" si="37"/>
        <v>0</v>
      </c>
      <c r="AV27" s="198">
        <v>1</v>
      </c>
      <c r="AW27" s="199">
        <f t="shared" si="24"/>
        <v>0</v>
      </c>
      <c r="AX27" s="379"/>
      <c r="AY27" s="376"/>
      <c r="AZ27" s="376"/>
      <c r="BA27" s="376"/>
      <c r="BB27" s="376"/>
      <c r="BC27" s="376"/>
      <c r="BD27" s="373"/>
      <c r="BE27" s="199">
        <f t="shared" si="26"/>
        <v>0</v>
      </c>
      <c r="BG27" s="43"/>
      <c r="BH27" s="24"/>
      <c r="BI27" s="24"/>
      <c r="BJ27" s="24"/>
      <c r="BK27" s="25"/>
      <c r="BL27" s="114">
        <f t="shared" si="38"/>
        <v>0</v>
      </c>
      <c r="BM27" s="198">
        <v>1</v>
      </c>
      <c r="BN27" s="199">
        <f t="shared" si="27"/>
        <v>0</v>
      </c>
      <c r="BO27" s="379"/>
      <c r="BP27" s="376"/>
      <c r="BQ27" s="376"/>
      <c r="BR27" s="376"/>
      <c r="BS27" s="376"/>
      <c r="BT27" s="376"/>
      <c r="BU27" s="373"/>
      <c r="BV27" s="199">
        <f t="shared" si="29"/>
        <v>0</v>
      </c>
      <c r="BX27" s="43"/>
      <c r="BY27" s="24"/>
      <c r="BZ27" s="24"/>
      <c r="CA27" s="24"/>
      <c r="CB27" s="25"/>
      <c r="CC27" s="114">
        <f t="shared" si="39"/>
        <v>0</v>
      </c>
      <c r="CD27" s="198">
        <v>1</v>
      </c>
      <c r="CE27" s="199">
        <f t="shared" si="30"/>
        <v>0</v>
      </c>
      <c r="CF27" s="379"/>
      <c r="CG27" s="376"/>
      <c r="CH27" s="376"/>
      <c r="CI27" s="376"/>
      <c r="CJ27" s="376"/>
      <c r="CK27" s="376"/>
      <c r="CL27" s="373"/>
      <c r="CM27" s="199">
        <f t="shared" si="32"/>
        <v>0</v>
      </c>
      <c r="CN27" s="39"/>
      <c r="CO27" s="3"/>
      <c r="CP27" s="137">
        <f t="shared" si="33"/>
        <v>5.1079443091626109</v>
      </c>
      <c r="CQ27" s="3"/>
      <c r="CR27" s="137">
        <f t="shared" si="34"/>
        <v>6.9152941120800406</v>
      </c>
      <c r="CT27" s="137">
        <f t="shared" si="17"/>
        <v>1</v>
      </c>
    </row>
    <row r="28" spans="1:98" ht="15" customHeight="1" x14ac:dyDescent="0.2">
      <c r="A28" s="382"/>
      <c r="B28" s="435"/>
      <c r="C28" s="196" t="s">
        <v>146</v>
      </c>
      <c r="D28" s="197" t="s">
        <v>117</v>
      </c>
      <c r="E28" s="196" t="s">
        <v>3</v>
      </c>
      <c r="F28" s="301">
        <f>F1*(0.5*(1.014*1.012*1.015)*1.1/1.18)*1.028</f>
        <v>0.51079443091626098</v>
      </c>
      <c r="H28" s="43"/>
      <c r="I28" s="24"/>
      <c r="J28" s="24"/>
      <c r="K28" s="24"/>
      <c r="L28" s="25"/>
      <c r="M28" s="114">
        <f t="shared" si="35"/>
        <v>0</v>
      </c>
      <c r="N28" s="198">
        <v>1</v>
      </c>
      <c r="O28" s="199">
        <f t="shared" si="18"/>
        <v>0</v>
      </c>
      <c r="P28" s="379"/>
      <c r="Q28" s="376"/>
      <c r="R28" s="376"/>
      <c r="S28" s="376"/>
      <c r="T28" s="376"/>
      <c r="U28" s="376"/>
      <c r="V28" s="373"/>
      <c r="W28" s="199">
        <f t="shared" si="20"/>
        <v>0</v>
      </c>
      <c r="Y28" s="43"/>
      <c r="Z28" s="24"/>
      <c r="AA28" s="24"/>
      <c r="AB28" s="24"/>
      <c r="AC28" s="25"/>
      <c r="AD28" s="114">
        <f t="shared" si="36"/>
        <v>0</v>
      </c>
      <c r="AE28" s="198">
        <v>1</v>
      </c>
      <c r="AF28" s="199">
        <f t="shared" si="21"/>
        <v>0</v>
      </c>
      <c r="AG28" s="379"/>
      <c r="AH28" s="376"/>
      <c r="AI28" s="376"/>
      <c r="AJ28" s="376"/>
      <c r="AK28" s="376"/>
      <c r="AL28" s="376"/>
      <c r="AM28" s="373"/>
      <c r="AN28" s="199">
        <f t="shared" si="23"/>
        <v>0</v>
      </c>
      <c r="AP28" s="43"/>
      <c r="AQ28" s="24"/>
      <c r="AR28" s="24"/>
      <c r="AS28" s="24"/>
      <c r="AT28" s="25"/>
      <c r="AU28" s="114">
        <f t="shared" si="37"/>
        <v>0</v>
      </c>
      <c r="AV28" s="198">
        <v>1</v>
      </c>
      <c r="AW28" s="199">
        <f t="shared" si="24"/>
        <v>0</v>
      </c>
      <c r="AX28" s="379"/>
      <c r="AY28" s="376"/>
      <c r="AZ28" s="376"/>
      <c r="BA28" s="376"/>
      <c r="BB28" s="376"/>
      <c r="BC28" s="376"/>
      <c r="BD28" s="373"/>
      <c r="BE28" s="199">
        <f t="shared" si="26"/>
        <v>0</v>
      </c>
      <c r="BG28" s="43"/>
      <c r="BH28" s="24"/>
      <c r="BI28" s="24"/>
      <c r="BJ28" s="24"/>
      <c r="BK28" s="25"/>
      <c r="BL28" s="114">
        <f t="shared" si="38"/>
        <v>0</v>
      </c>
      <c r="BM28" s="198">
        <v>1</v>
      </c>
      <c r="BN28" s="199">
        <f t="shared" si="27"/>
        <v>0</v>
      </c>
      <c r="BO28" s="379"/>
      <c r="BP28" s="376"/>
      <c r="BQ28" s="376"/>
      <c r="BR28" s="376"/>
      <c r="BS28" s="376"/>
      <c r="BT28" s="376"/>
      <c r="BU28" s="373"/>
      <c r="BV28" s="199">
        <f t="shared" si="29"/>
        <v>0</v>
      </c>
      <c r="BX28" s="43"/>
      <c r="BY28" s="24"/>
      <c r="BZ28" s="24"/>
      <c r="CA28" s="24"/>
      <c r="CB28" s="25"/>
      <c r="CC28" s="114">
        <f t="shared" si="39"/>
        <v>0</v>
      </c>
      <c r="CD28" s="198">
        <v>1</v>
      </c>
      <c r="CE28" s="199">
        <f t="shared" si="30"/>
        <v>0</v>
      </c>
      <c r="CF28" s="379"/>
      <c r="CG28" s="376"/>
      <c r="CH28" s="376"/>
      <c r="CI28" s="376"/>
      <c r="CJ28" s="376"/>
      <c r="CK28" s="376"/>
      <c r="CL28" s="373"/>
      <c r="CM28" s="199">
        <f t="shared" si="32"/>
        <v>0</v>
      </c>
      <c r="CN28" s="39"/>
      <c r="CO28" s="3"/>
      <c r="CP28" s="137">
        <f t="shared" si="33"/>
        <v>0</v>
      </c>
      <c r="CQ28" s="3"/>
      <c r="CR28" s="137">
        <f t="shared" si="34"/>
        <v>0</v>
      </c>
      <c r="CT28" s="137">
        <f t="shared" si="17"/>
        <v>0</v>
      </c>
    </row>
    <row r="29" spans="1:98" ht="15" customHeight="1" x14ac:dyDescent="0.2">
      <c r="A29" s="382"/>
      <c r="B29" s="435"/>
      <c r="C29" s="196" t="s">
        <v>147</v>
      </c>
      <c r="D29" s="197" t="s">
        <v>118</v>
      </c>
      <c r="E29" s="196" t="s">
        <v>309</v>
      </c>
      <c r="F29" s="301">
        <f>F1*(3*(1.014*1.012*1.015)*1.1/1.18)*1.028</f>
        <v>3.0647665854975656</v>
      </c>
      <c r="H29" s="43"/>
      <c r="I29" s="24"/>
      <c r="J29" s="24"/>
      <c r="K29" s="24"/>
      <c r="L29" s="25"/>
      <c r="M29" s="114">
        <f t="shared" si="35"/>
        <v>0</v>
      </c>
      <c r="N29" s="198">
        <v>1</v>
      </c>
      <c r="O29" s="199">
        <f t="shared" si="18"/>
        <v>0</v>
      </c>
      <c r="P29" s="379"/>
      <c r="Q29" s="376"/>
      <c r="R29" s="376"/>
      <c r="S29" s="376"/>
      <c r="T29" s="376"/>
      <c r="U29" s="376"/>
      <c r="V29" s="373"/>
      <c r="W29" s="199">
        <f t="shared" si="20"/>
        <v>0</v>
      </c>
      <c r="Y29" s="43">
        <v>5</v>
      </c>
      <c r="Z29" s="24"/>
      <c r="AA29" s="24"/>
      <c r="AB29" s="24"/>
      <c r="AC29" s="25"/>
      <c r="AD29" s="114">
        <f t="shared" si="36"/>
        <v>5</v>
      </c>
      <c r="AE29" s="198">
        <v>1</v>
      </c>
      <c r="AF29" s="199">
        <f t="shared" si="21"/>
        <v>15.323832927487828</v>
      </c>
      <c r="AG29" s="379"/>
      <c r="AH29" s="376"/>
      <c r="AI29" s="376"/>
      <c r="AJ29" s="376"/>
      <c r="AK29" s="376"/>
      <c r="AL29" s="376"/>
      <c r="AM29" s="373"/>
      <c r="AN29" s="199">
        <f t="shared" si="23"/>
        <v>20.745882336240115</v>
      </c>
      <c r="AP29" s="43"/>
      <c r="AQ29" s="24"/>
      <c r="AR29" s="24"/>
      <c r="AS29" s="24"/>
      <c r="AT29" s="25"/>
      <c r="AU29" s="114">
        <f t="shared" si="37"/>
        <v>0</v>
      </c>
      <c r="AV29" s="198">
        <v>1</v>
      </c>
      <c r="AW29" s="199">
        <f t="shared" si="24"/>
        <v>0</v>
      </c>
      <c r="AX29" s="379"/>
      <c r="AY29" s="376"/>
      <c r="AZ29" s="376"/>
      <c r="BA29" s="376"/>
      <c r="BB29" s="376"/>
      <c r="BC29" s="376"/>
      <c r="BD29" s="373"/>
      <c r="BE29" s="199">
        <f t="shared" si="26"/>
        <v>0</v>
      </c>
      <c r="BG29" s="43"/>
      <c r="BH29" s="24"/>
      <c r="BI29" s="24"/>
      <c r="BJ29" s="24"/>
      <c r="BK29" s="25"/>
      <c r="BL29" s="114">
        <f t="shared" si="38"/>
        <v>0</v>
      </c>
      <c r="BM29" s="198">
        <v>1</v>
      </c>
      <c r="BN29" s="199">
        <f t="shared" si="27"/>
        <v>0</v>
      </c>
      <c r="BO29" s="379"/>
      <c r="BP29" s="376"/>
      <c r="BQ29" s="376"/>
      <c r="BR29" s="376"/>
      <c r="BS29" s="376"/>
      <c r="BT29" s="376"/>
      <c r="BU29" s="373"/>
      <c r="BV29" s="199">
        <f t="shared" si="29"/>
        <v>0</v>
      </c>
      <c r="BX29" s="43"/>
      <c r="BY29" s="24"/>
      <c r="BZ29" s="24"/>
      <c r="CA29" s="24"/>
      <c r="CB29" s="25"/>
      <c r="CC29" s="114">
        <f t="shared" si="39"/>
        <v>0</v>
      </c>
      <c r="CD29" s="198">
        <v>1</v>
      </c>
      <c r="CE29" s="199">
        <f t="shared" si="30"/>
        <v>0</v>
      </c>
      <c r="CF29" s="379"/>
      <c r="CG29" s="376"/>
      <c r="CH29" s="376"/>
      <c r="CI29" s="376"/>
      <c r="CJ29" s="376"/>
      <c r="CK29" s="376"/>
      <c r="CL29" s="373"/>
      <c r="CM29" s="199">
        <f t="shared" si="32"/>
        <v>0</v>
      </c>
      <c r="CN29" s="39"/>
      <c r="CO29" s="3"/>
      <c r="CP29" s="137">
        <f t="shared" si="33"/>
        <v>15.323832927487828</v>
      </c>
      <c r="CQ29" s="3"/>
      <c r="CR29" s="137">
        <f t="shared" si="34"/>
        <v>20.745882336240115</v>
      </c>
      <c r="CT29" s="137">
        <f t="shared" si="17"/>
        <v>5</v>
      </c>
    </row>
    <row r="30" spans="1:98" ht="15" customHeight="1" x14ac:dyDescent="0.2">
      <c r="A30" s="382"/>
      <c r="B30" s="436"/>
      <c r="C30" s="196" t="s">
        <v>148</v>
      </c>
      <c r="D30" s="197" t="s">
        <v>119</v>
      </c>
      <c r="E30" s="196" t="s">
        <v>309</v>
      </c>
      <c r="F30" s="301">
        <f>F1*(0.5*(1.014*1.012*1.015)*1.1/1.18)*1.028</f>
        <v>0.51079443091626098</v>
      </c>
      <c r="H30" s="43"/>
      <c r="I30" s="24"/>
      <c r="J30" s="24"/>
      <c r="K30" s="24"/>
      <c r="L30" s="25"/>
      <c r="M30" s="114">
        <f t="shared" si="35"/>
        <v>0</v>
      </c>
      <c r="N30" s="198">
        <v>1</v>
      </c>
      <c r="O30" s="199">
        <f t="shared" si="18"/>
        <v>0</v>
      </c>
      <c r="P30" s="379"/>
      <c r="Q30" s="376"/>
      <c r="R30" s="376"/>
      <c r="S30" s="376"/>
      <c r="T30" s="376"/>
      <c r="U30" s="376"/>
      <c r="V30" s="373"/>
      <c r="W30" s="199">
        <f t="shared" si="20"/>
        <v>0</v>
      </c>
      <c r="Y30" s="43"/>
      <c r="Z30" s="24"/>
      <c r="AA30" s="24"/>
      <c r="AB30" s="24"/>
      <c r="AC30" s="25"/>
      <c r="AD30" s="114">
        <f t="shared" si="36"/>
        <v>0</v>
      </c>
      <c r="AE30" s="198">
        <v>1</v>
      </c>
      <c r="AF30" s="199">
        <f t="shared" si="21"/>
        <v>0</v>
      </c>
      <c r="AG30" s="379"/>
      <c r="AH30" s="376"/>
      <c r="AI30" s="376"/>
      <c r="AJ30" s="376"/>
      <c r="AK30" s="376"/>
      <c r="AL30" s="376"/>
      <c r="AM30" s="373"/>
      <c r="AN30" s="199">
        <f t="shared" si="23"/>
        <v>0</v>
      </c>
      <c r="AP30" s="43"/>
      <c r="AQ30" s="24"/>
      <c r="AR30" s="24"/>
      <c r="AS30" s="24"/>
      <c r="AT30" s="25"/>
      <c r="AU30" s="114">
        <f t="shared" si="37"/>
        <v>0</v>
      </c>
      <c r="AV30" s="198">
        <v>1</v>
      </c>
      <c r="AW30" s="199">
        <f t="shared" si="24"/>
        <v>0</v>
      </c>
      <c r="AX30" s="379"/>
      <c r="AY30" s="376"/>
      <c r="AZ30" s="376"/>
      <c r="BA30" s="376"/>
      <c r="BB30" s="376"/>
      <c r="BC30" s="376"/>
      <c r="BD30" s="373"/>
      <c r="BE30" s="199">
        <f t="shared" si="26"/>
        <v>0</v>
      </c>
      <c r="BG30" s="43"/>
      <c r="BH30" s="24"/>
      <c r="BI30" s="24"/>
      <c r="BJ30" s="24"/>
      <c r="BK30" s="25"/>
      <c r="BL30" s="114">
        <f t="shared" si="38"/>
        <v>0</v>
      </c>
      <c r="BM30" s="198">
        <v>1</v>
      </c>
      <c r="BN30" s="199">
        <f t="shared" si="27"/>
        <v>0</v>
      </c>
      <c r="BO30" s="379"/>
      <c r="BP30" s="376"/>
      <c r="BQ30" s="376"/>
      <c r="BR30" s="376"/>
      <c r="BS30" s="376"/>
      <c r="BT30" s="376"/>
      <c r="BU30" s="373"/>
      <c r="BV30" s="199">
        <f t="shared" si="29"/>
        <v>0</v>
      </c>
      <c r="BX30" s="43"/>
      <c r="BY30" s="24"/>
      <c r="BZ30" s="24"/>
      <c r="CA30" s="24"/>
      <c r="CB30" s="25"/>
      <c r="CC30" s="114">
        <f t="shared" si="39"/>
        <v>0</v>
      </c>
      <c r="CD30" s="198">
        <v>1</v>
      </c>
      <c r="CE30" s="199">
        <f t="shared" si="30"/>
        <v>0</v>
      </c>
      <c r="CF30" s="379"/>
      <c r="CG30" s="376"/>
      <c r="CH30" s="376"/>
      <c r="CI30" s="376"/>
      <c r="CJ30" s="376"/>
      <c r="CK30" s="376"/>
      <c r="CL30" s="373"/>
      <c r="CM30" s="199">
        <f t="shared" si="32"/>
        <v>0</v>
      </c>
      <c r="CN30" s="39"/>
      <c r="CO30" s="3"/>
      <c r="CP30" s="137">
        <f t="shared" si="33"/>
        <v>0</v>
      </c>
      <c r="CQ30" s="3"/>
      <c r="CR30" s="137">
        <f t="shared" si="34"/>
        <v>0</v>
      </c>
      <c r="CT30" s="137">
        <f t="shared" si="17"/>
        <v>0</v>
      </c>
    </row>
    <row r="31" spans="1:98" ht="15" customHeight="1" x14ac:dyDescent="0.2">
      <c r="A31" s="382"/>
      <c r="B31" s="433" t="s">
        <v>308</v>
      </c>
      <c r="C31" s="196" t="s">
        <v>149</v>
      </c>
      <c r="D31" s="197" t="s">
        <v>523</v>
      </c>
      <c r="E31" s="196" t="s">
        <v>4</v>
      </c>
      <c r="F31" s="301">
        <f>F1*(0.75*(1.014*1.012*1.015)*1.1/1.18)*1.028</f>
        <v>0.76619164637439141</v>
      </c>
      <c r="H31" s="43"/>
      <c r="I31" s="24"/>
      <c r="J31" s="24"/>
      <c r="K31" s="24"/>
      <c r="L31" s="25"/>
      <c r="M31" s="114">
        <f t="shared" si="35"/>
        <v>0</v>
      </c>
      <c r="N31" s="198">
        <v>1</v>
      </c>
      <c r="O31" s="199">
        <f t="shared" si="18"/>
        <v>0</v>
      </c>
      <c r="P31" s="379"/>
      <c r="Q31" s="376"/>
      <c r="R31" s="376"/>
      <c r="S31" s="376"/>
      <c r="T31" s="376"/>
      <c r="U31" s="376"/>
      <c r="V31" s="373"/>
      <c r="W31" s="199">
        <f t="shared" si="20"/>
        <v>0</v>
      </c>
      <c r="Y31" s="43"/>
      <c r="Z31" s="24"/>
      <c r="AA31" s="24"/>
      <c r="AB31" s="24"/>
      <c r="AC31" s="25"/>
      <c r="AD31" s="114">
        <f t="shared" si="36"/>
        <v>0</v>
      </c>
      <c r="AE31" s="198">
        <v>1</v>
      </c>
      <c r="AF31" s="199">
        <f t="shared" si="21"/>
        <v>0</v>
      </c>
      <c r="AG31" s="379"/>
      <c r="AH31" s="376"/>
      <c r="AI31" s="376"/>
      <c r="AJ31" s="376"/>
      <c r="AK31" s="376"/>
      <c r="AL31" s="376"/>
      <c r="AM31" s="373"/>
      <c r="AN31" s="199">
        <f t="shared" si="23"/>
        <v>0</v>
      </c>
      <c r="AP31" s="43"/>
      <c r="AQ31" s="24"/>
      <c r="AR31" s="24"/>
      <c r="AS31" s="24"/>
      <c r="AT31" s="25"/>
      <c r="AU31" s="114">
        <f t="shared" si="37"/>
        <v>0</v>
      </c>
      <c r="AV31" s="198">
        <v>1</v>
      </c>
      <c r="AW31" s="199">
        <f t="shared" si="24"/>
        <v>0</v>
      </c>
      <c r="AX31" s="379"/>
      <c r="AY31" s="376"/>
      <c r="AZ31" s="376"/>
      <c r="BA31" s="376"/>
      <c r="BB31" s="376"/>
      <c r="BC31" s="376"/>
      <c r="BD31" s="373"/>
      <c r="BE31" s="199">
        <f t="shared" si="26"/>
        <v>0</v>
      </c>
      <c r="BG31" s="43"/>
      <c r="BH31" s="24"/>
      <c r="BI31" s="24"/>
      <c r="BJ31" s="24"/>
      <c r="BK31" s="25"/>
      <c r="BL31" s="114">
        <f t="shared" si="38"/>
        <v>0</v>
      </c>
      <c r="BM31" s="198">
        <v>1</v>
      </c>
      <c r="BN31" s="199">
        <f t="shared" si="27"/>
        <v>0</v>
      </c>
      <c r="BO31" s="379"/>
      <c r="BP31" s="376"/>
      <c r="BQ31" s="376"/>
      <c r="BR31" s="376"/>
      <c r="BS31" s="376"/>
      <c r="BT31" s="376"/>
      <c r="BU31" s="373"/>
      <c r="BV31" s="199">
        <f t="shared" si="29"/>
        <v>0</v>
      </c>
      <c r="BX31" s="43"/>
      <c r="BY31" s="24"/>
      <c r="BZ31" s="24"/>
      <c r="CA31" s="24"/>
      <c r="CB31" s="25"/>
      <c r="CC31" s="114">
        <f t="shared" si="39"/>
        <v>0</v>
      </c>
      <c r="CD31" s="198">
        <v>1</v>
      </c>
      <c r="CE31" s="199">
        <f t="shared" si="30"/>
        <v>0</v>
      </c>
      <c r="CF31" s="379"/>
      <c r="CG31" s="376"/>
      <c r="CH31" s="376"/>
      <c r="CI31" s="376"/>
      <c r="CJ31" s="376"/>
      <c r="CK31" s="376"/>
      <c r="CL31" s="373"/>
      <c r="CM31" s="199">
        <f t="shared" si="32"/>
        <v>0</v>
      </c>
      <c r="CN31" s="39"/>
      <c r="CO31" s="3"/>
      <c r="CP31" s="137">
        <f t="shared" si="33"/>
        <v>0</v>
      </c>
      <c r="CQ31" s="3"/>
      <c r="CR31" s="137">
        <f t="shared" si="34"/>
        <v>0</v>
      </c>
      <c r="CT31" s="137">
        <f t="shared" si="17"/>
        <v>0</v>
      </c>
    </row>
    <row r="32" spans="1:98" ht="15" customHeight="1" x14ac:dyDescent="0.2">
      <c r="A32" s="382"/>
      <c r="B32" s="434"/>
      <c r="C32" s="196" t="s">
        <v>150</v>
      </c>
      <c r="D32" s="197" t="s">
        <v>524</v>
      </c>
      <c r="E32" s="196" t="s">
        <v>4</v>
      </c>
      <c r="F32" s="301">
        <f>F1*(2.4*(1.014*1.012*1.015)*1.1/1.18)*1.028</f>
        <v>2.4518132683980527</v>
      </c>
      <c r="H32" s="43"/>
      <c r="I32" s="24"/>
      <c r="J32" s="24"/>
      <c r="K32" s="24"/>
      <c r="L32" s="25"/>
      <c r="M32" s="114">
        <f>SUM(H32:L32)</f>
        <v>0</v>
      </c>
      <c r="N32" s="198">
        <v>1</v>
      </c>
      <c r="O32" s="199">
        <f t="shared" ref="O32" si="40">$F32*M32*N32</f>
        <v>0</v>
      </c>
      <c r="P32" s="379"/>
      <c r="Q32" s="376"/>
      <c r="R32" s="376"/>
      <c r="S32" s="376"/>
      <c r="T32" s="376"/>
      <c r="U32" s="376"/>
      <c r="V32" s="373"/>
      <c r="W32" s="199">
        <f t="shared" si="20"/>
        <v>0</v>
      </c>
      <c r="Y32" s="43"/>
      <c r="Z32" s="24"/>
      <c r="AA32" s="24"/>
      <c r="AB32" s="24"/>
      <c r="AC32" s="25"/>
      <c r="AD32" s="114">
        <f>SUM(Y32:AC32)</f>
        <v>0</v>
      </c>
      <c r="AE32" s="198">
        <v>1</v>
      </c>
      <c r="AF32" s="199">
        <f t="shared" ref="AF32" si="41">$F32*AD32*AE32</f>
        <v>0</v>
      </c>
      <c r="AG32" s="379"/>
      <c r="AH32" s="376"/>
      <c r="AI32" s="376"/>
      <c r="AJ32" s="376"/>
      <c r="AK32" s="376"/>
      <c r="AL32" s="376"/>
      <c r="AM32" s="373"/>
      <c r="AN32" s="199">
        <f t="shared" si="23"/>
        <v>0</v>
      </c>
      <c r="AP32" s="43"/>
      <c r="AQ32" s="24"/>
      <c r="AR32" s="24"/>
      <c r="AS32" s="24"/>
      <c r="AT32" s="25"/>
      <c r="AU32" s="114">
        <f t="shared" ref="AU32" si="42">SUM(AP32:AT32)</f>
        <v>0</v>
      </c>
      <c r="AV32" s="198">
        <v>1</v>
      </c>
      <c r="AW32" s="199">
        <f t="shared" ref="AW32" si="43">$F32*AU32*AV32</f>
        <v>0</v>
      </c>
      <c r="AX32" s="379"/>
      <c r="AY32" s="376"/>
      <c r="AZ32" s="376"/>
      <c r="BA32" s="376"/>
      <c r="BB32" s="376"/>
      <c r="BC32" s="376"/>
      <c r="BD32" s="373"/>
      <c r="BE32" s="199">
        <f t="shared" si="26"/>
        <v>0</v>
      </c>
      <c r="BG32" s="43"/>
      <c r="BH32" s="24"/>
      <c r="BI32" s="24"/>
      <c r="BJ32" s="24"/>
      <c r="BK32" s="25"/>
      <c r="BL32" s="114">
        <f t="shared" ref="BL32" si="44">SUM(BG32:BK32)</f>
        <v>0</v>
      </c>
      <c r="BM32" s="198">
        <v>1</v>
      </c>
      <c r="BN32" s="199">
        <f t="shared" ref="BN32" si="45">$F32*BL32*BM32</f>
        <v>0</v>
      </c>
      <c r="BO32" s="379"/>
      <c r="BP32" s="376"/>
      <c r="BQ32" s="376"/>
      <c r="BR32" s="376"/>
      <c r="BS32" s="376"/>
      <c r="BT32" s="376"/>
      <c r="BU32" s="373"/>
      <c r="BV32" s="199">
        <f t="shared" si="29"/>
        <v>0</v>
      </c>
      <c r="BX32" s="43"/>
      <c r="BY32" s="24"/>
      <c r="BZ32" s="24"/>
      <c r="CA32" s="24"/>
      <c r="CB32" s="25"/>
      <c r="CC32" s="114">
        <f t="shared" ref="CC32" si="46">SUM(BX32:CB32)</f>
        <v>0</v>
      </c>
      <c r="CD32" s="198">
        <v>1</v>
      </c>
      <c r="CE32" s="199">
        <f t="shared" ref="CE32" si="47">$F32*CC32*CD32</f>
        <v>0</v>
      </c>
      <c r="CF32" s="379"/>
      <c r="CG32" s="376"/>
      <c r="CH32" s="376"/>
      <c r="CI32" s="376"/>
      <c r="CJ32" s="376"/>
      <c r="CK32" s="376"/>
      <c r="CL32" s="373"/>
      <c r="CM32" s="199">
        <f t="shared" si="32"/>
        <v>0</v>
      </c>
      <c r="CN32" s="39"/>
      <c r="CO32" s="3"/>
      <c r="CP32" s="137">
        <f t="shared" si="33"/>
        <v>0</v>
      </c>
      <c r="CQ32" s="3"/>
      <c r="CR32" s="137">
        <f t="shared" si="34"/>
        <v>0</v>
      </c>
      <c r="CT32" s="137">
        <f t="shared" si="17"/>
        <v>0</v>
      </c>
    </row>
    <row r="33" spans="1:98" ht="15" customHeight="1" x14ac:dyDescent="0.2">
      <c r="A33" s="382"/>
      <c r="B33" s="434"/>
      <c r="C33" s="196" t="s">
        <v>151</v>
      </c>
      <c r="D33" s="197" t="s">
        <v>120</v>
      </c>
      <c r="E33" s="196" t="s">
        <v>4</v>
      </c>
      <c r="F33" s="301">
        <f>F1*(4.75*(1.014*1.012*1.015)*1.1/1.18)*1.028</f>
        <v>4.8525470937044792</v>
      </c>
      <c r="H33" s="43"/>
      <c r="I33" s="24"/>
      <c r="J33" s="24"/>
      <c r="K33" s="24"/>
      <c r="L33" s="25"/>
      <c r="M33" s="114">
        <f t="shared" si="35"/>
        <v>0</v>
      </c>
      <c r="N33" s="198">
        <v>1</v>
      </c>
      <c r="O33" s="199">
        <f t="shared" si="18"/>
        <v>0</v>
      </c>
      <c r="P33" s="379"/>
      <c r="Q33" s="376"/>
      <c r="R33" s="376"/>
      <c r="S33" s="376"/>
      <c r="T33" s="376"/>
      <c r="U33" s="376"/>
      <c r="V33" s="373"/>
      <c r="W33" s="199">
        <f t="shared" si="20"/>
        <v>0</v>
      </c>
      <c r="Y33" s="43"/>
      <c r="Z33" s="24"/>
      <c r="AA33" s="24"/>
      <c r="AB33" s="24"/>
      <c r="AC33" s="25"/>
      <c r="AD33" s="114">
        <f t="shared" si="36"/>
        <v>0</v>
      </c>
      <c r="AE33" s="198">
        <v>1</v>
      </c>
      <c r="AF33" s="199">
        <f t="shared" si="21"/>
        <v>0</v>
      </c>
      <c r="AG33" s="379"/>
      <c r="AH33" s="376"/>
      <c r="AI33" s="376"/>
      <c r="AJ33" s="376"/>
      <c r="AK33" s="376"/>
      <c r="AL33" s="376"/>
      <c r="AM33" s="373"/>
      <c r="AN33" s="199">
        <f t="shared" si="23"/>
        <v>0</v>
      </c>
      <c r="AP33" s="43"/>
      <c r="AQ33" s="24"/>
      <c r="AR33" s="24"/>
      <c r="AS33" s="24"/>
      <c r="AT33" s="25"/>
      <c r="AU33" s="114">
        <f t="shared" si="37"/>
        <v>0</v>
      </c>
      <c r="AV33" s="198">
        <v>1</v>
      </c>
      <c r="AW33" s="199">
        <f t="shared" si="24"/>
        <v>0</v>
      </c>
      <c r="AX33" s="379"/>
      <c r="AY33" s="376"/>
      <c r="AZ33" s="376"/>
      <c r="BA33" s="376"/>
      <c r="BB33" s="376"/>
      <c r="BC33" s="376"/>
      <c r="BD33" s="373"/>
      <c r="BE33" s="199">
        <f t="shared" si="26"/>
        <v>0</v>
      </c>
      <c r="BG33" s="43"/>
      <c r="BH33" s="24"/>
      <c r="BI33" s="24"/>
      <c r="BJ33" s="24"/>
      <c r="BK33" s="25"/>
      <c r="BL33" s="114">
        <f t="shared" si="38"/>
        <v>0</v>
      </c>
      <c r="BM33" s="198">
        <v>1</v>
      </c>
      <c r="BN33" s="199">
        <f t="shared" si="27"/>
        <v>0</v>
      </c>
      <c r="BO33" s="379"/>
      <c r="BP33" s="376"/>
      <c r="BQ33" s="376"/>
      <c r="BR33" s="376"/>
      <c r="BS33" s="376"/>
      <c r="BT33" s="376"/>
      <c r="BU33" s="373"/>
      <c r="BV33" s="199">
        <f t="shared" si="29"/>
        <v>0</v>
      </c>
      <c r="BX33" s="43"/>
      <c r="BY33" s="24"/>
      <c r="BZ33" s="24"/>
      <c r="CA33" s="24"/>
      <c r="CB33" s="25"/>
      <c r="CC33" s="114">
        <f t="shared" si="39"/>
        <v>0</v>
      </c>
      <c r="CD33" s="198">
        <v>1</v>
      </c>
      <c r="CE33" s="199">
        <f t="shared" si="30"/>
        <v>0</v>
      </c>
      <c r="CF33" s="379"/>
      <c r="CG33" s="376"/>
      <c r="CH33" s="376"/>
      <c r="CI33" s="376"/>
      <c r="CJ33" s="376"/>
      <c r="CK33" s="376"/>
      <c r="CL33" s="373"/>
      <c r="CM33" s="199">
        <f t="shared" si="32"/>
        <v>0</v>
      </c>
      <c r="CN33" s="39"/>
      <c r="CO33" s="3"/>
      <c r="CP33" s="137">
        <f t="shared" si="33"/>
        <v>0</v>
      </c>
      <c r="CQ33" s="3"/>
      <c r="CR33" s="137">
        <f t="shared" si="34"/>
        <v>0</v>
      </c>
      <c r="CT33" s="137">
        <f t="shared" si="17"/>
        <v>0</v>
      </c>
    </row>
    <row r="34" spans="1:98" ht="15" customHeight="1" x14ac:dyDescent="0.2">
      <c r="A34" s="382"/>
      <c r="B34" s="434"/>
      <c r="C34" s="196" t="s">
        <v>33</v>
      </c>
      <c r="D34" s="197" t="s">
        <v>121</v>
      </c>
      <c r="E34" s="196" t="s">
        <v>4</v>
      </c>
      <c r="F34" s="301">
        <f>F1*(2.2*(1.014*1.012*1.015)*1.1/1.18)*1.028</f>
        <v>2.2474954960315485</v>
      </c>
      <c r="H34" s="365">
        <v>2.6</v>
      </c>
      <c r="I34" s="24"/>
      <c r="J34" s="24"/>
      <c r="K34" s="24"/>
      <c r="L34" s="25"/>
      <c r="M34" s="114">
        <f t="shared" si="35"/>
        <v>2.6</v>
      </c>
      <c r="N34" s="198">
        <v>1</v>
      </c>
      <c r="O34" s="199">
        <f t="shared" si="18"/>
        <v>5.8434882896820266</v>
      </c>
      <c r="P34" s="379"/>
      <c r="Q34" s="376"/>
      <c r="R34" s="376"/>
      <c r="S34" s="376"/>
      <c r="T34" s="376"/>
      <c r="U34" s="376"/>
      <c r="V34" s="373"/>
      <c r="W34" s="199">
        <f t="shared" si="20"/>
        <v>7.9110964642195656</v>
      </c>
      <c r="Y34" s="43">
        <v>4.5</v>
      </c>
      <c r="Z34" s="24"/>
      <c r="AA34" s="24"/>
      <c r="AB34" s="24"/>
      <c r="AC34" s="25"/>
      <c r="AD34" s="114">
        <f t="shared" si="36"/>
        <v>4.5</v>
      </c>
      <c r="AE34" s="198">
        <v>1</v>
      </c>
      <c r="AF34" s="199">
        <f t="shared" si="21"/>
        <v>10.113729732141968</v>
      </c>
      <c r="AG34" s="379"/>
      <c r="AH34" s="376"/>
      <c r="AI34" s="376"/>
      <c r="AJ34" s="376"/>
      <c r="AK34" s="376"/>
      <c r="AL34" s="376"/>
      <c r="AM34" s="373"/>
      <c r="AN34" s="199">
        <f t="shared" si="23"/>
        <v>13.692282341918478</v>
      </c>
      <c r="AP34" s="43"/>
      <c r="AQ34" s="24"/>
      <c r="AR34" s="24"/>
      <c r="AS34" s="24"/>
      <c r="AT34" s="25"/>
      <c r="AU34" s="114">
        <f t="shared" si="37"/>
        <v>0</v>
      </c>
      <c r="AV34" s="198">
        <v>1</v>
      </c>
      <c r="AW34" s="199">
        <f t="shared" si="24"/>
        <v>0</v>
      </c>
      <c r="AX34" s="379"/>
      <c r="AY34" s="376"/>
      <c r="AZ34" s="376"/>
      <c r="BA34" s="376"/>
      <c r="BB34" s="376"/>
      <c r="BC34" s="376"/>
      <c r="BD34" s="373"/>
      <c r="BE34" s="199">
        <f t="shared" si="26"/>
        <v>0</v>
      </c>
      <c r="BG34" s="43"/>
      <c r="BH34" s="24"/>
      <c r="BI34" s="24"/>
      <c r="BJ34" s="24"/>
      <c r="BK34" s="25"/>
      <c r="BL34" s="114">
        <f t="shared" si="38"/>
        <v>0</v>
      </c>
      <c r="BM34" s="198">
        <v>1</v>
      </c>
      <c r="BN34" s="199">
        <f t="shared" si="27"/>
        <v>0</v>
      </c>
      <c r="BO34" s="379"/>
      <c r="BP34" s="376"/>
      <c r="BQ34" s="376"/>
      <c r="BR34" s="376"/>
      <c r="BS34" s="376"/>
      <c r="BT34" s="376"/>
      <c r="BU34" s="373"/>
      <c r="BV34" s="199">
        <f t="shared" si="29"/>
        <v>0</v>
      </c>
      <c r="BX34" s="43"/>
      <c r="BY34" s="24"/>
      <c r="BZ34" s="24"/>
      <c r="CA34" s="24"/>
      <c r="CB34" s="25"/>
      <c r="CC34" s="114">
        <f t="shared" si="39"/>
        <v>0</v>
      </c>
      <c r="CD34" s="198">
        <v>1</v>
      </c>
      <c r="CE34" s="199">
        <f t="shared" si="30"/>
        <v>0</v>
      </c>
      <c r="CF34" s="379"/>
      <c r="CG34" s="376"/>
      <c r="CH34" s="376"/>
      <c r="CI34" s="376"/>
      <c r="CJ34" s="376"/>
      <c r="CK34" s="376"/>
      <c r="CL34" s="373"/>
      <c r="CM34" s="199">
        <f t="shared" si="32"/>
        <v>0</v>
      </c>
      <c r="CN34" s="39"/>
      <c r="CO34" s="3"/>
      <c r="CP34" s="137">
        <f t="shared" si="33"/>
        <v>15.957218021823994</v>
      </c>
      <c r="CQ34" s="3"/>
      <c r="CR34" s="137">
        <f t="shared" si="34"/>
        <v>21.603378806138043</v>
      </c>
      <c r="CT34" s="137">
        <f t="shared" si="17"/>
        <v>7.1</v>
      </c>
    </row>
    <row r="35" spans="1:98" ht="15" customHeight="1" x14ac:dyDescent="0.2">
      <c r="A35" s="382"/>
      <c r="B35" s="437"/>
      <c r="C35" s="196" t="s">
        <v>34</v>
      </c>
      <c r="D35" s="197" t="s">
        <v>307</v>
      </c>
      <c r="E35" s="196" t="s">
        <v>4</v>
      </c>
      <c r="F35" s="301">
        <f>F1*(1.8*(1.014*1.012*1.015)*1.1/1.18)*1.028</f>
        <v>1.8388599512985397</v>
      </c>
      <c r="H35" s="43"/>
      <c r="I35" s="24"/>
      <c r="J35" s="24"/>
      <c r="K35" s="24"/>
      <c r="L35" s="25"/>
      <c r="M35" s="114">
        <f t="shared" si="35"/>
        <v>0</v>
      </c>
      <c r="N35" s="198">
        <v>1</v>
      </c>
      <c r="O35" s="199">
        <f t="shared" si="18"/>
        <v>0</v>
      </c>
      <c r="P35" s="379"/>
      <c r="Q35" s="376"/>
      <c r="R35" s="376"/>
      <c r="S35" s="376"/>
      <c r="T35" s="376"/>
      <c r="U35" s="376"/>
      <c r="V35" s="373"/>
      <c r="W35" s="199">
        <f t="shared" si="20"/>
        <v>0</v>
      </c>
      <c r="Y35" s="43">
        <v>4.5</v>
      </c>
      <c r="Z35" s="24"/>
      <c r="AA35" s="24"/>
      <c r="AB35" s="24"/>
      <c r="AC35" s="25"/>
      <c r="AD35" s="114">
        <f t="shared" si="36"/>
        <v>4.5</v>
      </c>
      <c r="AE35" s="198">
        <v>1</v>
      </c>
      <c r="AF35" s="199">
        <f t="shared" si="21"/>
        <v>8.2748697808434279</v>
      </c>
      <c r="AG35" s="379"/>
      <c r="AH35" s="376"/>
      <c r="AI35" s="376"/>
      <c r="AJ35" s="376"/>
      <c r="AK35" s="376"/>
      <c r="AL35" s="376"/>
      <c r="AM35" s="373"/>
      <c r="AN35" s="199">
        <f t="shared" si="23"/>
        <v>11.202776461569663</v>
      </c>
      <c r="AP35" s="43"/>
      <c r="AQ35" s="24"/>
      <c r="AR35" s="24"/>
      <c r="AS35" s="24"/>
      <c r="AT35" s="25"/>
      <c r="AU35" s="114">
        <f t="shared" si="37"/>
        <v>0</v>
      </c>
      <c r="AV35" s="198">
        <v>1</v>
      </c>
      <c r="AW35" s="199">
        <f t="shared" si="24"/>
        <v>0</v>
      </c>
      <c r="AX35" s="379"/>
      <c r="AY35" s="376"/>
      <c r="AZ35" s="376"/>
      <c r="BA35" s="376"/>
      <c r="BB35" s="376"/>
      <c r="BC35" s="376"/>
      <c r="BD35" s="373"/>
      <c r="BE35" s="199">
        <f t="shared" si="26"/>
        <v>0</v>
      </c>
      <c r="BG35" s="43"/>
      <c r="BH35" s="24"/>
      <c r="BI35" s="24"/>
      <c r="BJ35" s="24"/>
      <c r="BK35" s="25"/>
      <c r="BL35" s="114">
        <f t="shared" si="38"/>
        <v>0</v>
      </c>
      <c r="BM35" s="198">
        <v>1</v>
      </c>
      <c r="BN35" s="199">
        <f t="shared" si="27"/>
        <v>0</v>
      </c>
      <c r="BO35" s="379"/>
      <c r="BP35" s="376"/>
      <c r="BQ35" s="376"/>
      <c r="BR35" s="376"/>
      <c r="BS35" s="376"/>
      <c r="BT35" s="376"/>
      <c r="BU35" s="373"/>
      <c r="BV35" s="199">
        <f t="shared" si="29"/>
        <v>0</v>
      </c>
      <c r="BX35" s="43"/>
      <c r="BY35" s="24"/>
      <c r="BZ35" s="24"/>
      <c r="CA35" s="24"/>
      <c r="CB35" s="25"/>
      <c r="CC35" s="114">
        <f t="shared" si="39"/>
        <v>0</v>
      </c>
      <c r="CD35" s="198">
        <v>1</v>
      </c>
      <c r="CE35" s="199">
        <f t="shared" si="30"/>
        <v>0</v>
      </c>
      <c r="CF35" s="379"/>
      <c r="CG35" s="376"/>
      <c r="CH35" s="376"/>
      <c r="CI35" s="376"/>
      <c r="CJ35" s="376"/>
      <c r="CK35" s="376"/>
      <c r="CL35" s="373"/>
      <c r="CM35" s="199">
        <f t="shared" si="32"/>
        <v>0</v>
      </c>
      <c r="CN35" s="39"/>
      <c r="CO35" s="3"/>
      <c r="CP35" s="137">
        <f t="shared" si="33"/>
        <v>8.2748697808434279</v>
      </c>
      <c r="CQ35" s="3"/>
      <c r="CR35" s="137">
        <f t="shared" si="34"/>
        <v>11.202776461569663</v>
      </c>
      <c r="CT35" s="137">
        <f t="shared" si="17"/>
        <v>4.5</v>
      </c>
    </row>
    <row r="36" spans="1:98" ht="15" customHeight="1" x14ac:dyDescent="0.2">
      <c r="A36" s="382"/>
      <c r="B36" s="433" t="s">
        <v>41</v>
      </c>
      <c r="C36" s="196" t="s">
        <v>35</v>
      </c>
      <c r="D36" s="201" t="s">
        <v>620</v>
      </c>
      <c r="E36" s="202" t="s">
        <v>10</v>
      </c>
      <c r="F36" s="322">
        <v>19.5</v>
      </c>
      <c r="H36" s="43"/>
      <c r="I36" s="24"/>
      <c r="J36" s="24"/>
      <c r="K36" s="24"/>
      <c r="L36" s="25"/>
      <c r="M36" s="114">
        <f t="shared" si="35"/>
        <v>0</v>
      </c>
      <c r="N36" s="198">
        <v>1</v>
      </c>
      <c r="O36" s="199">
        <f t="shared" si="18"/>
        <v>0</v>
      </c>
      <c r="P36" s="379"/>
      <c r="Q36" s="376"/>
      <c r="R36" s="376"/>
      <c r="S36" s="376"/>
      <c r="T36" s="376"/>
      <c r="U36" s="376"/>
      <c r="V36" s="373"/>
      <c r="W36" s="199">
        <f t="shared" si="20"/>
        <v>0</v>
      </c>
      <c r="Y36" s="43">
        <v>1</v>
      </c>
      <c r="Z36" s="24"/>
      <c r="AA36" s="24"/>
      <c r="AB36" s="24"/>
      <c r="AC36" s="25"/>
      <c r="AD36" s="114">
        <f t="shared" si="36"/>
        <v>1</v>
      </c>
      <c r="AE36" s="198">
        <v>1</v>
      </c>
      <c r="AF36" s="199">
        <f t="shared" si="21"/>
        <v>19.5</v>
      </c>
      <c r="AG36" s="379"/>
      <c r="AH36" s="376"/>
      <c r="AI36" s="376"/>
      <c r="AJ36" s="376"/>
      <c r="AK36" s="376"/>
      <c r="AL36" s="376"/>
      <c r="AM36" s="373"/>
      <c r="AN36" s="199">
        <f t="shared" si="23"/>
        <v>26.399707401600001</v>
      </c>
      <c r="AP36" s="43"/>
      <c r="AQ36" s="24"/>
      <c r="AR36" s="24"/>
      <c r="AS36" s="24"/>
      <c r="AT36" s="25"/>
      <c r="AU36" s="114">
        <f t="shared" si="37"/>
        <v>0</v>
      </c>
      <c r="AV36" s="198">
        <v>1</v>
      </c>
      <c r="AW36" s="199">
        <f t="shared" si="24"/>
        <v>0</v>
      </c>
      <c r="AX36" s="379"/>
      <c r="AY36" s="376"/>
      <c r="AZ36" s="376"/>
      <c r="BA36" s="376"/>
      <c r="BB36" s="376"/>
      <c r="BC36" s="376"/>
      <c r="BD36" s="373"/>
      <c r="BE36" s="199">
        <f t="shared" si="26"/>
        <v>0</v>
      </c>
      <c r="BG36" s="43"/>
      <c r="BH36" s="24"/>
      <c r="BI36" s="24"/>
      <c r="BJ36" s="24"/>
      <c r="BK36" s="25"/>
      <c r="BL36" s="114">
        <f t="shared" si="38"/>
        <v>0</v>
      </c>
      <c r="BM36" s="198">
        <v>1</v>
      </c>
      <c r="BN36" s="199">
        <f t="shared" si="27"/>
        <v>0</v>
      </c>
      <c r="BO36" s="379"/>
      <c r="BP36" s="376"/>
      <c r="BQ36" s="376"/>
      <c r="BR36" s="376"/>
      <c r="BS36" s="376"/>
      <c r="BT36" s="376"/>
      <c r="BU36" s="373"/>
      <c r="BV36" s="199">
        <f t="shared" si="29"/>
        <v>0</v>
      </c>
      <c r="BX36" s="43"/>
      <c r="BY36" s="24"/>
      <c r="BZ36" s="24"/>
      <c r="CA36" s="24"/>
      <c r="CB36" s="25"/>
      <c r="CC36" s="114">
        <f t="shared" si="39"/>
        <v>0</v>
      </c>
      <c r="CD36" s="198">
        <v>1</v>
      </c>
      <c r="CE36" s="199">
        <f t="shared" si="30"/>
        <v>0</v>
      </c>
      <c r="CF36" s="379"/>
      <c r="CG36" s="376"/>
      <c r="CH36" s="376"/>
      <c r="CI36" s="376"/>
      <c r="CJ36" s="376"/>
      <c r="CK36" s="376"/>
      <c r="CL36" s="373"/>
      <c r="CM36" s="199">
        <f t="shared" si="32"/>
        <v>0</v>
      </c>
      <c r="CN36" s="39"/>
      <c r="CO36" s="3"/>
      <c r="CP36" s="137">
        <f t="shared" si="33"/>
        <v>19.5</v>
      </c>
      <c r="CQ36" s="3"/>
      <c r="CR36" s="137">
        <f t="shared" si="34"/>
        <v>26.399707401600001</v>
      </c>
      <c r="CT36" s="137">
        <f t="shared" si="17"/>
        <v>1</v>
      </c>
    </row>
    <row r="37" spans="1:98" ht="15" customHeight="1" x14ac:dyDescent="0.2">
      <c r="A37" s="382"/>
      <c r="B37" s="434"/>
      <c r="C37" s="196" t="s">
        <v>36</v>
      </c>
      <c r="D37" s="201" t="s">
        <v>621</v>
      </c>
      <c r="E37" s="202" t="s">
        <v>10</v>
      </c>
      <c r="F37" s="322">
        <v>15</v>
      </c>
      <c r="H37" s="43"/>
      <c r="I37" s="24"/>
      <c r="J37" s="24"/>
      <c r="K37" s="24"/>
      <c r="L37" s="25"/>
      <c r="M37" s="114">
        <f t="shared" si="35"/>
        <v>0</v>
      </c>
      <c r="N37" s="198">
        <v>1</v>
      </c>
      <c r="O37" s="199">
        <f t="shared" si="18"/>
        <v>0</v>
      </c>
      <c r="P37" s="379"/>
      <c r="Q37" s="376"/>
      <c r="R37" s="376"/>
      <c r="S37" s="376"/>
      <c r="T37" s="376"/>
      <c r="U37" s="376"/>
      <c r="V37" s="373"/>
      <c r="W37" s="199">
        <f t="shared" si="20"/>
        <v>0</v>
      </c>
      <c r="Y37" s="43">
        <v>1</v>
      </c>
      <c r="Z37" s="24"/>
      <c r="AA37" s="24"/>
      <c r="AB37" s="24"/>
      <c r="AC37" s="25"/>
      <c r="AD37" s="114">
        <f t="shared" si="36"/>
        <v>1</v>
      </c>
      <c r="AE37" s="198">
        <v>1</v>
      </c>
      <c r="AF37" s="199">
        <f t="shared" si="21"/>
        <v>15</v>
      </c>
      <c r="AG37" s="379"/>
      <c r="AH37" s="376"/>
      <c r="AI37" s="376"/>
      <c r="AJ37" s="376"/>
      <c r="AK37" s="376"/>
      <c r="AL37" s="376"/>
      <c r="AM37" s="373"/>
      <c r="AN37" s="199">
        <f t="shared" si="23"/>
        <v>20.307467232</v>
      </c>
      <c r="AP37" s="43"/>
      <c r="AQ37" s="24"/>
      <c r="AR37" s="24"/>
      <c r="AS37" s="24"/>
      <c r="AT37" s="25"/>
      <c r="AU37" s="114">
        <f t="shared" si="37"/>
        <v>0</v>
      </c>
      <c r="AV37" s="198">
        <v>1</v>
      </c>
      <c r="AW37" s="199">
        <f t="shared" si="24"/>
        <v>0</v>
      </c>
      <c r="AX37" s="379"/>
      <c r="AY37" s="376"/>
      <c r="AZ37" s="376"/>
      <c r="BA37" s="376"/>
      <c r="BB37" s="376"/>
      <c r="BC37" s="376"/>
      <c r="BD37" s="373"/>
      <c r="BE37" s="199">
        <f t="shared" si="26"/>
        <v>0</v>
      </c>
      <c r="BG37" s="43"/>
      <c r="BH37" s="24"/>
      <c r="BI37" s="24"/>
      <c r="BJ37" s="24"/>
      <c r="BK37" s="25"/>
      <c r="BL37" s="114">
        <f t="shared" si="38"/>
        <v>0</v>
      </c>
      <c r="BM37" s="198">
        <v>1</v>
      </c>
      <c r="BN37" s="199">
        <f t="shared" si="27"/>
        <v>0</v>
      </c>
      <c r="BO37" s="379"/>
      <c r="BP37" s="376"/>
      <c r="BQ37" s="376"/>
      <c r="BR37" s="376"/>
      <c r="BS37" s="376"/>
      <c r="BT37" s="376"/>
      <c r="BU37" s="373"/>
      <c r="BV37" s="199">
        <f t="shared" si="29"/>
        <v>0</v>
      </c>
      <c r="BX37" s="43"/>
      <c r="BY37" s="24"/>
      <c r="BZ37" s="24"/>
      <c r="CA37" s="24"/>
      <c r="CB37" s="25"/>
      <c r="CC37" s="114">
        <f t="shared" si="39"/>
        <v>0</v>
      </c>
      <c r="CD37" s="198">
        <v>1</v>
      </c>
      <c r="CE37" s="199">
        <f t="shared" si="30"/>
        <v>0</v>
      </c>
      <c r="CF37" s="379"/>
      <c r="CG37" s="376"/>
      <c r="CH37" s="376"/>
      <c r="CI37" s="376"/>
      <c r="CJ37" s="376"/>
      <c r="CK37" s="376"/>
      <c r="CL37" s="373"/>
      <c r="CM37" s="199">
        <f t="shared" si="32"/>
        <v>0</v>
      </c>
      <c r="CN37" s="39"/>
      <c r="CO37" s="3"/>
      <c r="CP37" s="137">
        <f t="shared" si="33"/>
        <v>15</v>
      </c>
      <c r="CQ37" s="3"/>
      <c r="CR37" s="137">
        <f t="shared" si="34"/>
        <v>20.307467232</v>
      </c>
      <c r="CT37" s="137">
        <f t="shared" si="17"/>
        <v>1</v>
      </c>
    </row>
    <row r="38" spans="1:98" ht="15" customHeight="1" x14ac:dyDescent="0.2">
      <c r="A38" s="382"/>
      <c r="B38" s="434"/>
      <c r="C38" s="196" t="s">
        <v>152</v>
      </c>
      <c r="D38" s="201" t="s">
        <v>357</v>
      </c>
      <c r="E38" s="202"/>
      <c r="F38" s="322"/>
      <c r="H38" s="43"/>
      <c r="I38" s="24"/>
      <c r="J38" s="24"/>
      <c r="K38" s="24"/>
      <c r="L38" s="25"/>
      <c r="M38" s="114">
        <f t="shared" si="35"/>
        <v>0</v>
      </c>
      <c r="N38" s="198">
        <v>1</v>
      </c>
      <c r="O38" s="199">
        <f t="shared" si="18"/>
        <v>0</v>
      </c>
      <c r="P38" s="379"/>
      <c r="Q38" s="376"/>
      <c r="R38" s="376"/>
      <c r="S38" s="376"/>
      <c r="T38" s="376"/>
      <c r="U38" s="376"/>
      <c r="V38" s="373"/>
      <c r="W38" s="199">
        <f t="shared" si="20"/>
        <v>0</v>
      </c>
      <c r="Y38" s="43"/>
      <c r="Z38" s="24"/>
      <c r="AA38" s="24"/>
      <c r="AB38" s="24"/>
      <c r="AC38" s="25"/>
      <c r="AD38" s="114">
        <f t="shared" si="36"/>
        <v>0</v>
      </c>
      <c r="AE38" s="198">
        <v>1</v>
      </c>
      <c r="AF38" s="199">
        <f t="shared" si="21"/>
        <v>0</v>
      </c>
      <c r="AG38" s="379"/>
      <c r="AH38" s="376"/>
      <c r="AI38" s="376"/>
      <c r="AJ38" s="376"/>
      <c r="AK38" s="376"/>
      <c r="AL38" s="376"/>
      <c r="AM38" s="373"/>
      <c r="AN38" s="199">
        <f t="shared" si="23"/>
        <v>0</v>
      </c>
      <c r="AP38" s="43"/>
      <c r="AQ38" s="24"/>
      <c r="AR38" s="24"/>
      <c r="AS38" s="24"/>
      <c r="AT38" s="25"/>
      <c r="AU38" s="114">
        <f t="shared" si="37"/>
        <v>0</v>
      </c>
      <c r="AV38" s="198">
        <v>1</v>
      </c>
      <c r="AW38" s="199">
        <f t="shared" si="24"/>
        <v>0</v>
      </c>
      <c r="AX38" s="379"/>
      <c r="AY38" s="376"/>
      <c r="AZ38" s="376"/>
      <c r="BA38" s="376"/>
      <c r="BB38" s="376"/>
      <c r="BC38" s="376"/>
      <c r="BD38" s="373"/>
      <c r="BE38" s="199">
        <f t="shared" si="26"/>
        <v>0</v>
      </c>
      <c r="BG38" s="43"/>
      <c r="BH38" s="24"/>
      <c r="BI38" s="24"/>
      <c r="BJ38" s="24"/>
      <c r="BK38" s="25"/>
      <c r="BL38" s="114">
        <f t="shared" si="38"/>
        <v>0</v>
      </c>
      <c r="BM38" s="198">
        <v>1</v>
      </c>
      <c r="BN38" s="199">
        <f t="shared" si="27"/>
        <v>0</v>
      </c>
      <c r="BO38" s="379"/>
      <c r="BP38" s="376"/>
      <c r="BQ38" s="376"/>
      <c r="BR38" s="376"/>
      <c r="BS38" s="376"/>
      <c r="BT38" s="376"/>
      <c r="BU38" s="373"/>
      <c r="BV38" s="199">
        <f t="shared" si="29"/>
        <v>0</v>
      </c>
      <c r="BX38" s="43"/>
      <c r="BY38" s="24"/>
      <c r="BZ38" s="24"/>
      <c r="CA38" s="24"/>
      <c r="CB38" s="25"/>
      <c r="CC38" s="114">
        <f t="shared" si="39"/>
        <v>0</v>
      </c>
      <c r="CD38" s="198">
        <v>1</v>
      </c>
      <c r="CE38" s="199">
        <f t="shared" si="30"/>
        <v>0</v>
      </c>
      <c r="CF38" s="379"/>
      <c r="CG38" s="376"/>
      <c r="CH38" s="376"/>
      <c r="CI38" s="376"/>
      <c r="CJ38" s="376"/>
      <c r="CK38" s="376"/>
      <c r="CL38" s="373"/>
      <c r="CM38" s="199">
        <f t="shared" si="32"/>
        <v>0</v>
      </c>
      <c r="CN38" s="39"/>
      <c r="CO38" s="3"/>
      <c r="CP38" s="137">
        <f t="shared" si="33"/>
        <v>0</v>
      </c>
      <c r="CQ38" s="3"/>
      <c r="CR38" s="137">
        <f t="shared" si="34"/>
        <v>0</v>
      </c>
      <c r="CT38" s="137">
        <f t="shared" si="17"/>
        <v>0</v>
      </c>
    </row>
    <row r="39" spans="1:98" ht="15" customHeight="1" x14ac:dyDescent="0.2">
      <c r="A39" s="382"/>
      <c r="B39" s="434"/>
      <c r="C39" s="196" t="s">
        <v>153</v>
      </c>
      <c r="D39" s="204" t="s">
        <v>215</v>
      </c>
      <c r="E39" s="205" t="s">
        <v>10</v>
      </c>
      <c r="F39" s="323"/>
      <c r="H39" s="43"/>
      <c r="I39" s="24"/>
      <c r="J39" s="24"/>
      <c r="K39" s="24"/>
      <c r="L39" s="25"/>
      <c r="M39" s="114"/>
      <c r="N39" s="207"/>
      <c r="O39" s="199">
        <f>SUM(H39:L39)</f>
        <v>0</v>
      </c>
      <c r="P39" s="379"/>
      <c r="Q39" s="376"/>
      <c r="R39" s="376"/>
      <c r="S39" s="376"/>
      <c r="T39" s="376"/>
      <c r="U39" s="376"/>
      <c r="V39" s="373"/>
      <c r="W39" s="199">
        <f t="shared" si="20"/>
        <v>0</v>
      </c>
      <c r="Y39" s="43"/>
      <c r="Z39" s="24"/>
      <c r="AA39" s="24"/>
      <c r="AB39" s="24"/>
      <c r="AC39" s="25"/>
      <c r="AD39" s="114"/>
      <c r="AE39" s="207"/>
      <c r="AF39" s="199">
        <f>SUM(Y39:AC39)</f>
        <v>0</v>
      </c>
      <c r="AG39" s="379"/>
      <c r="AH39" s="376"/>
      <c r="AI39" s="376"/>
      <c r="AJ39" s="376"/>
      <c r="AK39" s="376"/>
      <c r="AL39" s="376"/>
      <c r="AM39" s="373"/>
      <c r="AN39" s="199">
        <f t="shared" si="23"/>
        <v>0</v>
      </c>
      <c r="AP39" s="43"/>
      <c r="AQ39" s="24"/>
      <c r="AR39" s="24"/>
      <c r="AS39" s="24"/>
      <c r="AT39" s="25"/>
      <c r="AU39" s="114"/>
      <c r="AV39" s="207"/>
      <c r="AW39" s="199">
        <f>SUM(AP39:AT39)</f>
        <v>0</v>
      </c>
      <c r="AX39" s="379"/>
      <c r="AY39" s="376"/>
      <c r="AZ39" s="376"/>
      <c r="BA39" s="376"/>
      <c r="BB39" s="376"/>
      <c r="BC39" s="376"/>
      <c r="BD39" s="373"/>
      <c r="BE39" s="199">
        <f t="shared" si="26"/>
        <v>0</v>
      </c>
      <c r="BG39" s="43"/>
      <c r="BH39" s="24"/>
      <c r="BI39" s="24"/>
      <c r="BJ39" s="24"/>
      <c r="BK39" s="25"/>
      <c r="BL39" s="114"/>
      <c r="BM39" s="207"/>
      <c r="BN39" s="199">
        <f>SUM(BG39:BK39)</f>
        <v>0</v>
      </c>
      <c r="BO39" s="379"/>
      <c r="BP39" s="376"/>
      <c r="BQ39" s="376"/>
      <c r="BR39" s="376"/>
      <c r="BS39" s="376"/>
      <c r="BT39" s="376"/>
      <c r="BU39" s="373"/>
      <c r="BV39" s="199">
        <f t="shared" si="29"/>
        <v>0</v>
      </c>
      <c r="BX39" s="43"/>
      <c r="BY39" s="24"/>
      <c r="BZ39" s="24"/>
      <c r="CA39" s="24"/>
      <c r="CB39" s="25"/>
      <c r="CC39" s="114"/>
      <c r="CD39" s="207"/>
      <c r="CE39" s="199">
        <f>SUM(BX39:CB39)</f>
        <v>0</v>
      </c>
      <c r="CF39" s="379"/>
      <c r="CG39" s="376"/>
      <c r="CH39" s="376"/>
      <c r="CI39" s="376"/>
      <c r="CJ39" s="376"/>
      <c r="CK39" s="376"/>
      <c r="CL39" s="373"/>
      <c r="CM39" s="199">
        <f t="shared" si="32"/>
        <v>0</v>
      </c>
      <c r="CN39" s="39"/>
      <c r="CO39" s="3"/>
      <c r="CP39" s="137">
        <f t="shared" si="33"/>
        <v>0</v>
      </c>
      <c r="CQ39" s="3"/>
      <c r="CR39" s="137">
        <f t="shared" si="34"/>
        <v>0</v>
      </c>
      <c r="CT39" s="137">
        <f t="shared" si="17"/>
        <v>0</v>
      </c>
    </row>
    <row r="40" spans="1:98" ht="15" customHeight="1" x14ac:dyDescent="0.2">
      <c r="A40" s="382"/>
      <c r="B40" s="434"/>
      <c r="C40" s="196" t="s">
        <v>154</v>
      </c>
      <c r="D40" s="208" t="s">
        <v>215</v>
      </c>
      <c r="E40" s="205" t="s">
        <v>10</v>
      </c>
      <c r="F40" s="323"/>
      <c r="H40" s="43"/>
      <c r="I40" s="24"/>
      <c r="J40" s="24"/>
      <c r="K40" s="24"/>
      <c r="L40" s="25"/>
      <c r="M40" s="114"/>
      <c r="N40" s="207"/>
      <c r="O40" s="199">
        <f>SUM(H40:L40)</f>
        <v>0</v>
      </c>
      <c r="P40" s="380"/>
      <c r="Q40" s="377"/>
      <c r="R40" s="377"/>
      <c r="S40" s="377"/>
      <c r="T40" s="377"/>
      <c r="U40" s="377"/>
      <c r="V40" s="374"/>
      <c r="W40" s="199">
        <f t="shared" si="20"/>
        <v>0</v>
      </c>
      <c r="Y40" s="43"/>
      <c r="Z40" s="24"/>
      <c r="AA40" s="24"/>
      <c r="AB40" s="24"/>
      <c r="AC40" s="25"/>
      <c r="AD40" s="114"/>
      <c r="AE40" s="207"/>
      <c r="AF40" s="199">
        <f>SUM(Y40:AC40)</f>
        <v>0</v>
      </c>
      <c r="AG40" s="380"/>
      <c r="AH40" s="377"/>
      <c r="AI40" s="377"/>
      <c r="AJ40" s="377"/>
      <c r="AK40" s="377"/>
      <c r="AL40" s="377"/>
      <c r="AM40" s="374"/>
      <c r="AN40" s="199">
        <f t="shared" si="23"/>
        <v>0</v>
      </c>
      <c r="AP40" s="43"/>
      <c r="AQ40" s="24"/>
      <c r="AR40" s="24"/>
      <c r="AS40" s="24"/>
      <c r="AT40" s="25"/>
      <c r="AU40" s="114"/>
      <c r="AV40" s="207"/>
      <c r="AW40" s="199">
        <f>SUM(AP40:AT40)</f>
        <v>0</v>
      </c>
      <c r="AX40" s="380"/>
      <c r="AY40" s="377"/>
      <c r="AZ40" s="377"/>
      <c r="BA40" s="377"/>
      <c r="BB40" s="377"/>
      <c r="BC40" s="377"/>
      <c r="BD40" s="374"/>
      <c r="BE40" s="199">
        <f t="shared" si="26"/>
        <v>0</v>
      </c>
      <c r="BG40" s="43"/>
      <c r="BH40" s="24"/>
      <c r="BI40" s="24"/>
      <c r="BJ40" s="24"/>
      <c r="BK40" s="25"/>
      <c r="BL40" s="114"/>
      <c r="BM40" s="207"/>
      <c r="BN40" s="199">
        <f>SUM(BG40:BK40)</f>
        <v>0</v>
      </c>
      <c r="BO40" s="380"/>
      <c r="BP40" s="377"/>
      <c r="BQ40" s="377"/>
      <c r="BR40" s="377"/>
      <c r="BS40" s="377"/>
      <c r="BT40" s="377"/>
      <c r="BU40" s="374"/>
      <c r="BV40" s="199">
        <f t="shared" si="29"/>
        <v>0</v>
      </c>
      <c r="BX40" s="43"/>
      <c r="BY40" s="24"/>
      <c r="BZ40" s="24"/>
      <c r="CA40" s="24"/>
      <c r="CB40" s="25"/>
      <c r="CC40" s="114"/>
      <c r="CD40" s="207"/>
      <c r="CE40" s="199">
        <f>SUM(BX40:CB40)</f>
        <v>0</v>
      </c>
      <c r="CF40" s="380"/>
      <c r="CG40" s="377"/>
      <c r="CH40" s="377"/>
      <c r="CI40" s="377"/>
      <c r="CJ40" s="377"/>
      <c r="CK40" s="377"/>
      <c r="CL40" s="374"/>
      <c r="CM40" s="199">
        <f t="shared" si="32"/>
        <v>0</v>
      </c>
      <c r="CN40" s="39"/>
      <c r="CO40" s="3"/>
      <c r="CP40" s="137">
        <f t="shared" si="33"/>
        <v>0</v>
      </c>
      <c r="CQ40" s="3"/>
      <c r="CR40" s="137">
        <f t="shared" si="34"/>
        <v>0</v>
      </c>
      <c r="CT40" s="137">
        <f t="shared" si="17"/>
        <v>0</v>
      </c>
    </row>
    <row r="41" spans="1:98" ht="15" customHeight="1" thickBot="1" x14ac:dyDescent="0.25">
      <c r="A41" s="383"/>
      <c r="B41" s="209"/>
      <c r="C41" s="210"/>
      <c r="D41" s="211" t="s">
        <v>22</v>
      </c>
      <c r="E41" s="210"/>
      <c r="F41" s="324"/>
      <c r="H41" s="138"/>
      <c r="I41" s="139"/>
      <c r="J41" s="139"/>
      <c r="K41" s="139"/>
      <c r="L41" s="139"/>
      <c r="M41" s="213"/>
      <c r="N41" s="214"/>
      <c r="O41" s="215">
        <f>SUM(O25:O40)</f>
        <v>10.951432598844637</v>
      </c>
      <c r="P41" s="216"/>
      <c r="Q41" s="216"/>
      <c r="R41" s="216"/>
      <c r="S41" s="216"/>
      <c r="T41" s="216"/>
      <c r="U41" s="216"/>
      <c r="V41" s="214"/>
      <c r="W41" s="215">
        <f>SUM(W25:W40)</f>
        <v>14.826390576299605</v>
      </c>
      <c r="Y41" s="138"/>
      <c r="Z41" s="139"/>
      <c r="AA41" s="139"/>
      <c r="AB41" s="139"/>
      <c r="AC41" s="139"/>
      <c r="AD41" s="213"/>
      <c r="AE41" s="214"/>
      <c r="AF41" s="215">
        <f>SUM(AF25:AF40)</f>
        <v>82.31035873376203</v>
      </c>
      <c r="AG41" s="216"/>
      <c r="AH41" s="216"/>
      <c r="AI41" s="216"/>
      <c r="AJ41" s="216"/>
      <c r="AK41" s="216"/>
      <c r="AL41" s="216"/>
      <c r="AM41" s="214"/>
      <c r="AN41" s="215">
        <f>SUM(AN25:AN40)</f>
        <v>111.43432752266915</v>
      </c>
      <c r="AP41" s="138"/>
      <c r="AQ41" s="139"/>
      <c r="AR41" s="139"/>
      <c r="AS41" s="139"/>
      <c r="AT41" s="139"/>
      <c r="AU41" s="213"/>
      <c r="AV41" s="214"/>
      <c r="AW41" s="215">
        <f>SUM(AW25:AW40)</f>
        <v>0</v>
      </c>
      <c r="AX41" s="216"/>
      <c r="AY41" s="216"/>
      <c r="AZ41" s="216"/>
      <c r="BA41" s="216"/>
      <c r="BB41" s="216"/>
      <c r="BC41" s="216"/>
      <c r="BD41" s="214"/>
      <c r="BE41" s="215">
        <f>SUM(BE25:BE40)</f>
        <v>0</v>
      </c>
      <c r="BG41" s="138"/>
      <c r="BH41" s="139"/>
      <c r="BI41" s="139"/>
      <c r="BJ41" s="139"/>
      <c r="BK41" s="139"/>
      <c r="BL41" s="213"/>
      <c r="BM41" s="214"/>
      <c r="BN41" s="215">
        <f>SUM(BN25:BN40)</f>
        <v>0</v>
      </c>
      <c r="BO41" s="216"/>
      <c r="BP41" s="216"/>
      <c r="BQ41" s="216"/>
      <c r="BR41" s="216"/>
      <c r="BS41" s="216"/>
      <c r="BT41" s="216"/>
      <c r="BU41" s="214"/>
      <c r="BV41" s="215">
        <f>SUM(BV25:BV40)</f>
        <v>0</v>
      </c>
      <c r="BX41" s="138"/>
      <c r="BY41" s="139"/>
      <c r="BZ41" s="139"/>
      <c r="CA41" s="139"/>
      <c r="CB41" s="139"/>
      <c r="CC41" s="213"/>
      <c r="CD41" s="214"/>
      <c r="CE41" s="215">
        <f>SUM(CE25:CE40)</f>
        <v>0</v>
      </c>
      <c r="CF41" s="216"/>
      <c r="CG41" s="216"/>
      <c r="CH41" s="216"/>
      <c r="CI41" s="216"/>
      <c r="CJ41" s="216"/>
      <c r="CK41" s="216"/>
      <c r="CL41" s="214"/>
      <c r="CM41" s="215">
        <f>SUM(CM25:CM40)</f>
        <v>0</v>
      </c>
      <c r="CN41" s="39"/>
      <c r="CO41" s="3"/>
      <c r="CP41" s="217">
        <f>SUM(CP25:CP40)</f>
        <v>93.261791332606663</v>
      </c>
      <c r="CQ41" s="3"/>
      <c r="CR41" s="217">
        <f>SUM(CR25:CR40)</f>
        <v>126.26071809896877</v>
      </c>
      <c r="CT41" s="217"/>
    </row>
    <row r="42" spans="1:98" ht="15" customHeight="1" x14ac:dyDescent="0.2">
      <c r="A42" s="384" t="s">
        <v>466</v>
      </c>
      <c r="B42" s="435" t="s">
        <v>450</v>
      </c>
      <c r="C42" s="190" t="s">
        <v>163</v>
      </c>
      <c r="D42" s="191" t="s">
        <v>98</v>
      </c>
      <c r="E42" s="190" t="s">
        <v>3</v>
      </c>
      <c r="F42" s="300">
        <f>F1*(105*(1.014*1.012*1.015)*1.1/1.21)*1.028</f>
        <v>104.607322298388</v>
      </c>
      <c r="H42" s="41"/>
      <c r="I42" s="46"/>
      <c r="J42" s="46"/>
      <c r="K42" s="46"/>
      <c r="L42" s="47"/>
      <c r="M42" s="218">
        <f>SUM(H42:L42)</f>
        <v>0</v>
      </c>
      <c r="N42" s="195">
        <v>1</v>
      </c>
      <c r="O42" s="219">
        <f>$F42*M42*N42</f>
        <v>0</v>
      </c>
      <c r="P42" s="378">
        <f>VLOOKUP(P5,'Databaze rizik'!$K$2:$Z$6,4,FALSE)/100+1</f>
        <v>1.1000000000000001</v>
      </c>
      <c r="Q42" s="375">
        <f>VLOOKUP(Q5,'Databaze rizik'!$K$21:$Z$25,4,FALSE)/100+1</f>
        <v>1.1299999999999999</v>
      </c>
      <c r="R42" s="375">
        <f>VLOOKUP(R5,'Databaze rizik'!$K$41:$Z$45,4,FALSE)/100+1</f>
        <v>1</v>
      </c>
      <c r="S42" s="375">
        <f>VLOOKUP(S5,'Databaze rizik'!$K$61:$Z$66,4,FALSE)/100+1</f>
        <v>1.02</v>
      </c>
      <c r="T42" s="375">
        <f>VLOOKUP(T5,'Databaze rizik'!$K$81:$Z$85,4,FALSE)/100+1</f>
        <v>1.04</v>
      </c>
      <c r="U42" s="375">
        <f>VLOOKUP(U5,'Databaze rizik'!$K$101:$Z$105,4,FALSE)/100+1</f>
        <v>1</v>
      </c>
      <c r="V42" s="372">
        <f t="shared" ref="V42" si="48">P42*Q42*R42*S42*T42*U42</f>
        <v>1.3185743999999999</v>
      </c>
      <c r="W42" s="194">
        <f t="shared" ref="W42:W56" si="49">O42*V$42</f>
        <v>0</v>
      </c>
      <c r="Y42" s="41"/>
      <c r="Z42" s="46"/>
      <c r="AA42" s="46"/>
      <c r="AB42" s="46"/>
      <c r="AC42" s="47"/>
      <c r="AD42" s="218">
        <f>SUM(Y42:AC42)</f>
        <v>0</v>
      </c>
      <c r="AE42" s="195">
        <v>1</v>
      </c>
      <c r="AF42" s="219">
        <f>$F42*AD42*AE42</f>
        <v>0</v>
      </c>
      <c r="AG42" s="378">
        <f>VLOOKUP(AG5,'Databaze rizik'!$K$2:$Z$6,4,FALSE)/100+1</f>
        <v>1.1000000000000001</v>
      </c>
      <c r="AH42" s="375">
        <f>VLOOKUP(AH5,'Databaze rizik'!$K$21:$Z$25,4,FALSE)/100+1</f>
        <v>1.1299999999999999</v>
      </c>
      <c r="AI42" s="375">
        <f>VLOOKUP(AI5,'Databaze rizik'!$K$41:$Z$45,4,FALSE)/100+1</f>
        <v>1</v>
      </c>
      <c r="AJ42" s="375">
        <f>VLOOKUP(AJ5,'Databaze rizik'!$K$61:$Z$66,4,FALSE)/100+1</f>
        <v>1.02</v>
      </c>
      <c r="AK42" s="375">
        <f>VLOOKUP(AK5,'Databaze rizik'!$K$81:$Z$85,4,FALSE)/100+1</f>
        <v>1.04</v>
      </c>
      <c r="AL42" s="375">
        <f>VLOOKUP(AL5,'Databaze rizik'!$K$101:$Z$105,4,FALSE)/100+1</f>
        <v>1</v>
      </c>
      <c r="AM42" s="372">
        <f t="shared" ref="AM42" si="50">AG42*AH42*AI42*AJ42*AK42*AL42</f>
        <v>1.3185743999999999</v>
      </c>
      <c r="AN42" s="194">
        <f t="shared" ref="AN42:AN56" si="51">AF42*AM$42</f>
        <v>0</v>
      </c>
      <c r="AP42" s="41"/>
      <c r="AQ42" s="46"/>
      <c r="AR42" s="46"/>
      <c r="AS42" s="46"/>
      <c r="AT42" s="47"/>
      <c r="AU42" s="218">
        <f>SUM(AP42:AT42)</f>
        <v>0</v>
      </c>
      <c r="AV42" s="195">
        <v>1</v>
      </c>
      <c r="AW42" s="219">
        <f>$F42*AU42*AV42</f>
        <v>0</v>
      </c>
      <c r="AX42" s="378">
        <f>VLOOKUP(AX5,'Databaze rizik'!$K$2:$Z$6,4,FALSE)/100+1</f>
        <v>1.1000000000000001</v>
      </c>
      <c r="AY42" s="375">
        <f>VLOOKUP(AY5,'Databaze rizik'!$K$21:$Z$25,4,FALSE)/100+1</f>
        <v>1.1299999999999999</v>
      </c>
      <c r="AZ42" s="375">
        <f>VLOOKUP(AZ5,'Databaze rizik'!$K$41:$Z$45,4,FALSE)/100+1</f>
        <v>1</v>
      </c>
      <c r="BA42" s="375">
        <f>VLOOKUP(BA5,'Databaze rizik'!$K$61:$Z$66,4,FALSE)/100+1</f>
        <v>1.02</v>
      </c>
      <c r="BB42" s="375">
        <f>VLOOKUP(BB5,'Databaze rizik'!$K$81:$Z$85,4,FALSE)/100+1</f>
        <v>1.04</v>
      </c>
      <c r="BC42" s="375">
        <f>VLOOKUP(BC5,'Databaze rizik'!$K$101:$Z$105,4,FALSE)/100+1</f>
        <v>1</v>
      </c>
      <c r="BD42" s="372">
        <f t="shared" ref="BD42" si="52">AX42*AY42*AZ42*BA42*BB42*BC42</f>
        <v>1.3185743999999999</v>
      </c>
      <c r="BE42" s="194">
        <f t="shared" ref="BE42:BE56" si="53">AW42*BD$42</f>
        <v>0</v>
      </c>
      <c r="BG42" s="41"/>
      <c r="BH42" s="46"/>
      <c r="BI42" s="46"/>
      <c r="BJ42" s="46"/>
      <c r="BK42" s="47"/>
      <c r="BL42" s="218">
        <f>SUM(BG42:BK42)</f>
        <v>0</v>
      </c>
      <c r="BM42" s="195">
        <v>1</v>
      </c>
      <c r="BN42" s="219">
        <f>$F42*BL42*BM42</f>
        <v>0</v>
      </c>
      <c r="BO42" s="378">
        <f>VLOOKUP(BO5,'Databaze rizik'!$K$2:$Z$6,4,FALSE)/100+1</f>
        <v>1</v>
      </c>
      <c r="BP42" s="375">
        <f>VLOOKUP(BP5,'Databaze rizik'!$K$21:$Z$25,4,FALSE)/100+1</f>
        <v>1</v>
      </c>
      <c r="BQ42" s="375">
        <f>VLOOKUP(BQ5,'Databaze rizik'!$K$41:$Z$45,4,FALSE)/100+1</f>
        <v>1</v>
      </c>
      <c r="BR42" s="375">
        <f>VLOOKUP(BR5,'Databaze rizik'!$K$61:$Z$66,4,FALSE)/100+1</f>
        <v>1.02</v>
      </c>
      <c r="BS42" s="375">
        <f>VLOOKUP(BS5,'Databaze rizik'!$K$81:$Z$85,4,FALSE)/100+1</f>
        <v>1.04</v>
      </c>
      <c r="BT42" s="375">
        <f>VLOOKUP(BT5,'Databaze rizik'!$K$101:$Z$105,4,FALSE)/100+1</f>
        <v>1</v>
      </c>
      <c r="BU42" s="372">
        <f t="shared" ref="BU42" si="54">BO42*BP42*BQ42*BR42*BS42*BT42</f>
        <v>1.0608</v>
      </c>
      <c r="BV42" s="194">
        <f t="shared" ref="BV42:BV56" si="55">BN42*BU$42</f>
        <v>0</v>
      </c>
      <c r="BX42" s="41"/>
      <c r="BY42" s="46"/>
      <c r="BZ42" s="46"/>
      <c r="CA42" s="46"/>
      <c r="CB42" s="47"/>
      <c r="CC42" s="218">
        <f>SUM(BX42:CB42)</f>
        <v>0</v>
      </c>
      <c r="CD42" s="195">
        <v>1</v>
      </c>
      <c r="CE42" s="219">
        <f>$F42*CC42*CD42</f>
        <v>0</v>
      </c>
      <c r="CF42" s="378">
        <f>VLOOKUP(CF5,'Databaze rizik'!$K$2:$Z$6,4,FALSE)/100+1</f>
        <v>1</v>
      </c>
      <c r="CG42" s="375">
        <f>VLOOKUP(CG5,'Databaze rizik'!$K$21:$Z$25,4,FALSE)/100+1</f>
        <v>1</v>
      </c>
      <c r="CH42" s="375">
        <f>VLOOKUP(CH5,'Databaze rizik'!$K$41:$Z$45,4,FALSE)/100+1</f>
        <v>1</v>
      </c>
      <c r="CI42" s="375">
        <f>VLOOKUP(CI5,'Databaze rizik'!$K$61:$Z$66,4,FALSE)/100+1</f>
        <v>1.02</v>
      </c>
      <c r="CJ42" s="375">
        <f>VLOOKUP(CJ5,'Databaze rizik'!$K$81:$Z$85,4,FALSE)/100+1</f>
        <v>1.04</v>
      </c>
      <c r="CK42" s="375">
        <f>VLOOKUP(CK5,'Databaze rizik'!$K$101:$Z$105,4,FALSE)/100+1</f>
        <v>1</v>
      </c>
      <c r="CL42" s="372">
        <f t="shared" ref="CL42" si="56">CF42*CG42*CH42*CI42*CJ42*CK42</f>
        <v>1.0608</v>
      </c>
      <c r="CM42" s="194">
        <f t="shared" ref="CM42:CM56" si="57">CE42*CL$42</f>
        <v>0</v>
      </c>
      <c r="CN42" s="39"/>
      <c r="CO42" s="55"/>
      <c r="CP42" s="143">
        <f t="shared" ref="CP42:CP56" si="58">SUMIF(H$1:CM$1,1,H42:CM42)</f>
        <v>0</v>
      </c>
      <c r="CQ42" s="3"/>
      <c r="CR42" s="143">
        <f t="shared" ref="CR42:CR56" si="59">SUMIF(H$1:CM$1,2,H42:CM42)</f>
        <v>0</v>
      </c>
      <c r="CT42" s="143">
        <f t="shared" si="17"/>
        <v>0</v>
      </c>
    </row>
    <row r="43" spans="1:98" ht="15" customHeight="1" x14ac:dyDescent="0.2">
      <c r="A43" s="382"/>
      <c r="B43" s="435"/>
      <c r="C43" s="196" t="s">
        <v>164</v>
      </c>
      <c r="D43" s="197" t="s">
        <v>99</v>
      </c>
      <c r="E43" s="196" t="s">
        <v>3</v>
      </c>
      <c r="F43" s="301">
        <f>F1*(95*(1.014*1.012*1.015)*1.1/1.21)*1.028</f>
        <v>94.644720174732001</v>
      </c>
      <c r="H43" s="43"/>
      <c r="I43" s="24"/>
      <c r="J43" s="24"/>
      <c r="K43" s="24"/>
      <c r="L43" s="25"/>
      <c r="M43" s="114">
        <f>SUM(H43:L43)</f>
        <v>0</v>
      </c>
      <c r="N43" s="198">
        <v>1</v>
      </c>
      <c r="O43" s="199">
        <f>$F43*M43*N43</f>
        <v>0</v>
      </c>
      <c r="P43" s="379"/>
      <c r="Q43" s="376"/>
      <c r="R43" s="376"/>
      <c r="S43" s="376"/>
      <c r="T43" s="376"/>
      <c r="U43" s="376"/>
      <c r="V43" s="373"/>
      <c r="W43" s="199">
        <f t="shared" si="49"/>
        <v>0</v>
      </c>
      <c r="Y43" s="43"/>
      <c r="Z43" s="24"/>
      <c r="AA43" s="24"/>
      <c r="AB43" s="24"/>
      <c r="AC43" s="25"/>
      <c r="AD43" s="114">
        <f>SUM(Y43:AC43)</f>
        <v>0</v>
      </c>
      <c r="AE43" s="198">
        <v>1</v>
      </c>
      <c r="AF43" s="199">
        <f>$F43*AD43*AE43</f>
        <v>0</v>
      </c>
      <c r="AG43" s="379"/>
      <c r="AH43" s="376"/>
      <c r="AI43" s="376"/>
      <c r="AJ43" s="376"/>
      <c r="AK43" s="376"/>
      <c r="AL43" s="376"/>
      <c r="AM43" s="373"/>
      <c r="AN43" s="199">
        <f t="shared" si="51"/>
        <v>0</v>
      </c>
      <c r="AP43" s="43"/>
      <c r="AQ43" s="24"/>
      <c r="AR43" s="24"/>
      <c r="AS43" s="24"/>
      <c r="AT43" s="25"/>
      <c r="AU43" s="114">
        <f>SUM(AP43:AT43)</f>
        <v>0</v>
      </c>
      <c r="AV43" s="198">
        <v>1</v>
      </c>
      <c r="AW43" s="199">
        <f>$F43*AU43*AV43</f>
        <v>0</v>
      </c>
      <c r="AX43" s="379"/>
      <c r="AY43" s="376"/>
      <c r="AZ43" s="376"/>
      <c r="BA43" s="376"/>
      <c r="BB43" s="376"/>
      <c r="BC43" s="376"/>
      <c r="BD43" s="373"/>
      <c r="BE43" s="199">
        <f t="shared" si="53"/>
        <v>0</v>
      </c>
      <c r="BG43" s="43"/>
      <c r="BH43" s="24"/>
      <c r="BI43" s="24"/>
      <c r="BJ43" s="24"/>
      <c r="BK43" s="25"/>
      <c r="BL43" s="114">
        <f>SUM(BG43:BK43)</f>
        <v>0</v>
      </c>
      <c r="BM43" s="198">
        <v>1</v>
      </c>
      <c r="BN43" s="199">
        <f>$F43*BL43*BM43</f>
        <v>0</v>
      </c>
      <c r="BO43" s="379"/>
      <c r="BP43" s="376"/>
      <c r="BQ43" s="376"/>
      <c r="BR43" s="376"/>
      <c r="BS43" s="376"/>
      <c r="BT43" s="376"/>
      <c r="BU43" s="373"/>
      <c r="BV43" s="199">
        <f t="shared" si="55"/>
        <v>0</v>
      </c>
      <c r="BX43" s="43"/>
      <c r="BY43" s="24"/>
      <c r="BZ43" s="24"/>
      <c r="CA43" s="24"/>
      <c r="CB43" s="25"/>
      <c r="CC43" s="114">
        <f>SUM(BX43:CB43)</f>
        <v>0</v>
      </c>
      <c r="CD43" s="198">
        <v>1</v>
      </c>
      <c r="CE43" s="199">
        <f>$F43*CC43*CD43</f>
        <v>0</v>
      </c>
      <c r="CF43" s="379"/>
      <c r="CG43" s="376"/>
      <c r="CH43" s="376"/>
      <c r="CI43" s="376"/>
      <c r="CJ43" s="376"/>
      <c r="CK43" s="376"/>
      <c r="CL43" s="373"/>
      <c r="CM43" s="199">
        <f t="shared" si="57"/>
        <v>0</v>
      </c>
      <c r="CN43" s="39"/>
      <c r="CO43" s="55"/>
      <c r="CP43" s="137">
        <f t="shared" si="58"/>
        <v>0</v>
      </c>
      <c r="CQ43" s="3"/>
      <c r="CR43" s="137">
        <f t="shared" si="59"/>
        <v>0</v>
      </c>
      <c r="CT43" s="137">
        <f t="shared" si="17"/>
        <v>0</v>
      </c>
    </row>
    <row r="44" spans="1:98" ht="15" customHeight="1" x14ac:dyDescent="0.2">
      <c r="A44" s="382"/>
      <c r="B44" s="435"/>
      <c r="C44" s="196" t="s">
        <v>165</v>
      </c>
      <c r="D44" s="220" t="s">
        <v>250</v>
      </c>
      <c r="E44" s="205" t="s">
        <v>10</v>
      </c>
      <c r="F44" s="323"/>
      <c r="H44" s="43"/>
      <c r="I44" s="24"/>
      <c r="J44" s="24"/>
      <c r="K44" s="24"/>
      <c r="L44" s="25"/>
      <c r="M44" s="114"/>
      <c r="N44" s="207"/>
      <c r="O44" s="199">
        <f>SUM(H44:L44)</f>
        <v>0</v>
      </c>
      <c r="P44" s="379"/>
      <c r="Q44" s="376"/>
      <c r="R44" s="376"/>
      <c r="S44" s="376"/>
      <c r="T44" s="376"/>
      <c r="U44" s="376"/>
      <c r="V44" s="373"/>
      <c r="W44" s="199">
        <f t="shared" si="49"/>
        <v>0</v>
      </c>
      <c r="Y44" s="43"/>
      <c r="Z44" s="24"/>
      <c r="AA44" s="24"/>
      <c r="AB44" s="24"/>
      <c r="AC44" s="25"/>
      <c r="AD44" s="114"/>
      <c r="AE44" s="207"/>
      <c r="AF44" s="199">
        <f>SUM(Y44:AC44)</f>
        <v>0</v>
      </c>
      <c r="AG44" s="379"/>
      <c r="AH44" s="376"/>
      <c r="AI44" s="376"/>
      <c r="AJ44" s="376"/>
      <c r="AK44" s="376"/>
      <c r="AL44" s="376"/>
      <c r="AM44" s="373"/>
      <c r="AN44" s="199">
        <f t="shared" si="51"/>
        <v>0</v>
      </c>
      <c r="AP44" s="43"/>
      <c r="AQ44" s="24"/>
      <c r="AR44" s="24"/>
      <c r="AS44" s="24"/>
      <c r="AT44" s="25"/>
      <c r="AU44" s="114"/>
      <c r="AV44" s="207"/>
      <c r="AW44" s="199">
        <f>SUM(AP44:AT44)</f>
        <v>0</v>
      </c>
      <c r="AX44" s="379"/>
      <c r="AY44" s="376"/>
      <c r="AZ44" s="376"/>
      <c r="BA44" s="376"/>
      <c r="BB44" s="376"/>
      <c r="BC44" s="376"/>
      <c r="BD44" s="373"/>
      <c r="BE44" s="199">
        <f t="shared" si="53"/>
        <v>0</v>
      </c>
      <c r="BG44" s="43"/>
      <c r="BH44" s="24"/>
      <c r="BI44" s="24"/>
      <c r="BJ44" s="24"/>
      <c r="BK44" s="25"/>
      <c r="BL44" s="114"/>
      <c r="BM44" s="207"/>
      <c r="BN44" s="199">
        <f>SUM(BG44:BK44)</f>
        <v>0</v>
      </c>
      <c r="BO44" s="379"/>
      <c r="BP44" s="376"/>
      <c r="BQ44" s="376"/>
      <c r="BR44" s="376"/>
      <c r="BS44" s="376"/>
      <c r="BT44" s="376"/>
      <c r="BU44" s="373"/>
      <c r="BV44" s="199">
        <f t="shared" si="55"/>
        <v>0</v>
      </c>
      <c r="BX44" s="43"/>
      <c r="BY44" s="24"/>
      <c r="BZ44" s="24"/>
      <c r="CA44" s="24"/>
      <c r="CB44" s="25"/>
      <c r="CC44" s="114"/>
      <c r="CD44" s="207"/>
      <c r="CE44" s="199">
        <f>SUM(BX44:CB44)</f>
        <v>0</v>
      </c>
      <c r="CF44" s="379"/>
      <c r="CG44" s="376"/>
      <c r="CH44" s="376"/>
      <c r="CI44" s="376"/>
      <c r="CJ44" s="376"/>
      <c r="CK44" s="376"/>
      <c r="CL44" s="373"/>
      <c r="CM44" s="199">
        <f t="shared" si="57"/>
        <v>0</v>
      </c>
      <c r="CN44" s="39"/>
      <c r="CO44" s="55"/>
      <c r="CP44" s="137">
        <f t="shared" si="58"/>
        <v>0</v>
      </c>
      <c r="CQ44" s="3"/>
      <c r="CR44" s="137">
        <f t="shared" si="59"/>
        <v>0</v>
      </c>
      <c r="CT44" s="137">
        <f t="shared" si="17"/>
        <v>0</v>
      </c>
    </row>
    <row r="45" spans="1:98" ht="15" customHeight="1" x14ac:dyDescent="0.2">
      <c r="A45" s="382"/>
      <c r="B45" s="435"/>
      <c r="C45" s="196" t="s">
        <v>166</v>
      </c>
      <c r="D45" s="197" t="s">
        <v>100</v>
      </c>
      <c r="E45" s="196" t="s">
        <v>3</v>
      </c>
      <c r="F45" s="301">
        <f>F1*(36.5*(1.014*1.012*1.015)*1.1/1.21)*1.028</f>
        <v>36.363497751344404</v>
      </c>
      <c r="H45" s="43"/>
      <c r="I45" s="24"/>
      <c r="J45" s="24"/>
      <c r="K45" s="24"/>
      <c r="L45" s="25"/>
      <c r="M45" s="114">
        <f>SUM(H45:L45)</f>
        <v>0</v>
      </c>
      <c r="N45" s="198">
        <v>1</v>
      </c>
      <c r="O45" s="199">
        <f>$F45*M45*N45</f>
        <v>0</v>
      </c>
      <c r="P45" s="379"/>
      <c r="Q45" s="376"/>
      <c r="R45" s="376"/>
      <c r="S45" s="376"/>
      <c r="T45" s="376"/>
      <c r="U45" s="376"/>
      <c r="V45" s="373"/>
      <c r="W45" s="199">
        <f t="shared" si="49"/>
        <v>0</v>
      </c>
      <c r="Y45" s="43"/>
      <c r="Z45" s="24"/>
      <c r="AA45" s="24"/>
      <c r="AB45" s="24"/>
      <c r="AC45" s="25"/>
      <c r="AD45" s="114">
        <f>SUM(Y45:AC45)</f>
        <v>0</v>
      </c>
      <c r="AE45" s="198">
        <v>1</v>
      </c>
      <c r="AF45" s="199">
        <f>$F45*AD45*AE45</f>
        <v>0</v>
      </c>
      <c r="AG45" s="379"/>
      <c r="AH45" s="376"/>
      <c r="AI45" s="376"/>
      <c r="AJ45" s="376"/>
      <c r="AK45" s="376"/>
      <c r="AL45" s="376"/>
      <c r="AM45" s="373"/>
      <c r="AN45" s="199">
        <f t="shared" si="51"/>
        <v>0</v>
      </c>
      <c r="AP45" s="43"/>
      <c r="AQ45" s="24"/>
      <c r="AR45" s="24"/>
      <c r="AS45" s="24"/>
      <c r="AT45" s="25"/>
      <c r="AU45" s="114">
        <f>SUM(AP45:AT45)</f>
        <v>0</v>
      </c>
      <c r="AV45" s="198">
        <v>1</v>
      </c>
      <c r="AW45" s="199">
        <f>$F45*AU45*AV45</f>
        <v>0</v>
      </c>
      <c r="AX45" s="379"/>
      <c r="AY45" s="376"/>
      <c r="AZ45" s="376"/>
      <c r="BA45" s="376"/>
      <c r="BB45" s="376"/>
      <c r="BC45" s="376"/>
      <c r="BD45" s="373"/>
      <c r="BE45" s="199">
        <f t="shared" si="53"/>
        <v>0</v>
      </c>
      <c r="BG45" s="43"/>
      <c r="BH45" s="24"/>
      <c r="BI45" s="24"/>
      <c r="BJ45" s="24"/>
      <c r="BK45" s="25"/>
      <c r="BL45" s="114">
        <f>SUM(BG45:BK45)</f>
        <v>0</v>
      </c>
      <c r="BM45" s="198">
        <v>1</v>
      </c>
      <c r="BN45" s="199">
        <f>$F45*BL45*BM45</f>
        <v>0</v>
      </c>
      <c r="BO45" s="379"/>
      <c r="BP45" s="376"/>
      <c r="BQ45" s="376"/>
      <c r="BR45" s="376"/>
      <c r="BS45" s="376"/>
      <c r="BT45" s="376"/>
      <c r="BU45" s="373"/>
      <c r="BV45" s="199">
        <f t="shared" si="55"/>
        <v>0</v>
      </c>
      <c r="BX45" s="43"/>
      <c r="BY45" s="24"/>
      <c r="BZ45" s="24"/>
      <c r="CA45" s="24"/>
      <c r="CB45" s="25"/>
      <c r="CC45" s="114">
        <f>SUM(BX45:CB45)</f>
        <v>0</v>
      </c>
      <c r="CD45" s="198">
        <v>1</v>
      </c>
      <c r="CE45" s="199">
        <f>$F45*CC45*CD45</f>
        <v>0</v>
      </c>
      <c r="CF45" s="379"/>
      <c r="CG45" s="376"/>
      <c r="CH45" s="376"/>
      <c r="CI45" s="376"/>
      <c r="CJ45" s="376"/>
      <c r="CK45" s="376"/>
      <c r="CL45" s="373"/>
      <c r="CM45" s="199">
        <f t="shared" si="57"/>
        <v>0</v>
      </c>
      <c r="CN45" s="39"/>
      <c r="CO45" s="55"/>
      <c r="CP45" s="137">
        <f t="shared" si="58"/>
        <v>0</v>
      </c>
      <c r="CQ45" s="3"/>
      <c r="CR45" s="137">
        <f t="shared" si="59"/>
        <v>0</v>
      </c>
      <c r="CT45" s="137">
        <f t="shared" si="17"/>
        <v>0</v>
      </c>
    </row>
    <row r="46" spans="1:98" ht="15" customHeight="1" x14ac:dyDescent="0.2">
      <c r="A46" s="382"/>
      <c r="B46" s="436"/>
      <c r="C46" s="196" t="s">
        <v>167</v>
      </c>
      <c r="D46" s="221" t="s">
        <v>251</v>
      </c>
      <c r="E46" s="222" t="s">
        <v>10</v>
      </c>
      <c r="F46" s="323"/>
      <c r="H46" s="43"/>
      <c r="I46" s="24"/>
      <c r="J46" s="24"/>
      <c r="K46" s="24"/>
      <c r="L46" s="25"/>
      <c r="M46" s="114"/>
      <c r="N46" s="207"/>
      <c r="O46" s="199">
        <f>SUM(H46:L46)</f>
        <v>0</v>
      </c>
      <c r="P46" s="379"/>
      <c r="Q46" s="376"/>
      <c r="R46" s="376"/>
      <c r="S46" s="376"/>
      <c r="T46" s="376"/>
      <c r="U46" s="376"/>
      <c r="V46" s="373"/>
      <c r="W46" s="199">
        <f t="shared" si="49"/>
        <v>0</v>
      </c>
      <c r="Y46" s="43"/>
      <c r="Z46" s="24"/>
      <c r="AA46" s="24"/>
      <c r="AB46" s="24"/>
      <c r="AC46" s="25"/>
      <c r="AD46" s="114"/>
      <c r="AE46" s="207"/>
      <c r="AF46" s="199">
        <f>SUM(Y46:AC46)</f>
        <v>0</v>
      </c>
      <c r="AG46" s="379"/>
      <c r="AH46" s="376"/>
      <c r="AI46" s="376"/>
      <c r="AJ46" s="376"/>
      <c r="AK46" s="376"/>
      <c r="AL46" s="376"/>
      <c r="AM46" s="373"/>
      <c r="AN46" s="199">
        <f t="shared" si="51"/>
        <v>0</v>
      </c>
      <c r="AP46" s="43"/>
      <c r="AQ46" s="24"/>
      <c r="AR46" s="24"/>
      <c r="AS46" s="24"/>
      <c r="AT46" s="25"/>
      <c r="AU46" s="114"/>
      <c r="AV46" s="207"/>
      <c r="AW46" s="199">
        <f>SUM(AP46:AT46)</f>
        <v>0</v>
      </c>
      <c r="AX46" s="379"/>
      <c r="AY46" s="376"/>
      <c r="AZ46" s="376"/>
      <c r="BA46" s="376"/>
      <c r="BB46" s="376"/>
      <c r="BC46" s="376"/>
      <c r="BD46" s="373"/>
      <c r="BE46" s="199">
        <f t="shared" si="53"/>
        <v>0</v>
      </c>
      <c r="BG46" s="43"/>
      <c r="BH46" s="24"/>
      <c r="BI46" s="24"/>
      <c r="BJ46" s="24"/>
      <c r="BK46" s="25"/>
      <c r="BL46" s="114"/>
      <c r="BM46" s="207"/>
      <c r="BN46" s="199">
        <f>SUM(BG46:BK46)</f>
        <v>0</v>
      </c>
      <c r="BO46" s="379"/>
      <c r="BP46" s="376"/>
      <c r="BQ46" s="376"/>
      <c r="BR46" s="376"/>
      <c r="BS46" s="376"/>
      <c r="BT46" s="376"/>
      <c r="BU46" s="373"/>
      <c r="BV46" s="199">
        <f t="shared" si="55"/>
        <v>0</v>
      </c>
      <c r="BX46" s="43"/>
      <c r="BY46" s="24"/>
      <c r="BZ46" s="24"/>
      <c r="CA46" s="24"/>
      <c r="CB46" s="25"/>
      <c r="CC46" s="114"/>
      <c r="CD46" s="207"/>
      <c r="CE46" s="199">
        <f>SUM(BX46:CB46)</f>
        <v>0</v>
      </c>
      <c r="CF46" s="379"/>
      <c r="CG46" s="376"/>
      <c r="CH46" s="376"/>
      <c r="CI46" s="376"/>
      <c r="CJ46" s="376"/>
      <c r="CK46" s="376"/>
      <c r="CL46" s="373"/>
      <c r="CM46" s="199">
        <f t="shared" si="57"/>
        <v>0</v>
      </c>
      <c r="CN46" s="39"/>
      <c r="CO46" s="55"/>
      <c r="CP46" s="137">
        <f t="shared" si="58"/>
        <v>0</v>
      </c>
      <c r="CQ46" s="3"/>
      <c r="CR46" s="137">
        <f t="shared" si="59"/>
        <v>0</v>
      </c>
      <c r="CT46" s="137">
        <f t="shared" si="17"/>
        <v>0</v>
      </c>
    </row>
    <row r="47" spans="1:98" ht="15" customHeight="1" x14ac:dyDescent="0.2">
      <c r="A47" s="382"/>
      <c r="B47" s="438" t="s">
        <v>253</v>
      </c>
      <c r="C47" s="196" t="s">
        <v>168</v>
      </c>
      <c r="D47" s="197" t="s">
        <v>101</v>
      </c>
      <c r="E47" s="200" t="s">
        <v>3</v>
      </c>
      <c r="F47" s="301">
        <f>F1*(45*(1.014*1.012*1.015)*1.1/1.21)*1.028</f>
        <v>44.83170955645199</v>
      </c>
      <c r="H47" s="43"/>
      <c r="I47" s="24"/>
      <c r="J47" s="24"/>
      <c r="K47" s="24"/>
      <c r="L47" s="25"/>
      <c r="M47" s="114">
        <f t="shared" ref="M47:M54" si="60">SUM(H47:L47)</f>
        <v>0</v>
      </c>
      <c r="N47" s="198">
        <v>1</v>
      </c>
      <c r="O47" s="199">
        <f>$F47*M47*N47</f>
        <v>0</v>
      </c>
      <c r="P47" s="379"/>
      <c r="Q47" s="376"/>
      <c r="R47" s="376"/>
      <c r="S47" s="376"/>
      <c r="T47" s="376"/>
      <c r="U47" s="376"/>
      <c r="V47" s="373"/>
      <c r="W47" s="199">
        <f t="shared" si="49"/>
        <v>0</v>
      </c>
      <c r="Y47" s="43">
        <v>2</v>
      </c>
      <c r="Z47" s="24"/>
      <c r="AA47" s="24"/>
      <c r="AB47" s="24"/>
      <c r="AC47" s="25"/>
      <c r="AD47" s="114">
        <f>SUM(Y47:AC47)</f>
        <v>2</v>
      </c>
      <c r="AE47" s="198">
        <v>1</v>
      </c>
      <c r="AF47" s="199">
        <f>$F47*AD47*AE47</f>
        <v>89.663419112903981</v>
      </c>
      <c r="AG47" s="379"/>
      <c r="AH47" s="376"/>
      <c r="AI47" s="376"/>
      <c r="AJ47" s="376"/>
      <c r="AK47" s="376"/>
      <c r="AL47" s="376"/>
      <c r="AM47" s="373"/>
      <c r="AN47" s="199">
        <f t="shared" si="51"/>
        <v>118.22788905874589</v>
      </c>
      <c r="AP47" s="43"/>
      <c r="AQ47" s="24"/>
      <c r="AR47" s="24"/>
      <c r="AS47" s="24"/>
      <c r="AT47" s="25"/>
      <c r="AU47" s="114">
        <f>SUM(AP47:AT47)</f>
        <v>0</v>
      </c>
      <c r="AV47" s="198">
        <v>1</v>
      </c>
      <c r="AW47" s="199">
        <f>$F47*AU47*AV47</f>
        <v>0</v>
      </c>
      <c r="AX47" s="379"/>
      <c r="AY47" s="376"/>
      <c r="AZ47" s="376"/>
      <c r="BA47" s="376"/>
      <c r="BB47" s="376"/>
      <c r="BC47" s="376"/>
      <c r="BD47" s="373"/>
      <c r="BE47" s="199">
        <f t="shared" si="53"/>
        <v>0</v>
      </c>
      <c r="BG47" s="43"/>
      <c r="BH47" s="24"/>
      <c r="BI47" s="24"/>
      <c r="BJ47" s="24"/>
      <c r="BK47" s="25"/>
      <c r="BL47" s="114">
        <f>SUM(BG47:BK47)</f>
        <v>0</v>
      </c>
      <c r="BM47" s="198">
        <v>1</v>
      </c>
      <c r="BN47" s="199">
        <f>$F47*BL47*BM47</f>
        <v>0</v>
      </c>
      <c r="BO47" s="379"/>
      <c r="BP47" s="376"/>
      <c r="BQ47" s="376"/>
      <c r="BR47" s="376"/>
      <c r="BS47" s="376"/>
      <c r="BT47" s="376"/>
      <c r="BU47" s="373"/>
      <c r="BV47" s="199">
        <f t="shared" si="55"/>
        <v>0</v>
      </c>
      <c r="BX47" s="43"/>
      <c r="BY47" s="24"/>
      <c r="BZ47" s="24"/>
      <c r="CA47" s="24"/>
      <c r="CB47" s="25"/>
      <c r="CC47" s="114">
        <f>SUM(BX47:CB47)</f>
        <v>0</v>
      </c>
      <c r="CD47" s="198">
        <v>1</v>
      </c>
      <c r="CE47" s="199">
        <f>$F47*CC47*CD47</f>
        <v>0</v>
      </c>
      <c r="CF47" s="379"/>
      <c r="CG47" s="376"/>
      <c r="CH47" s="376"/>
      <c r="CI47" s="376"/>
      <c r="CJ47" s="376"/>
      <c r="CK47" s="376"/>
      <c r="CL47" s="373"/>
      <c r="CM47" s="199">
        <f t="shared" si="57"/>
        <v>0</v>
      </c>
      <c r="CN47" s="39"/>
      <c r="CO47" s="55"/>
      <c r="CP47" s="137">
        <f t="shared" si="58"/>
        <v>89.663419112903981</v>
      </c>
      <c r="CQ47" s="3"/>
      <c r="CR47" s="137">
        <f t="shared" si="59"/>
        <v>118.22788905874589</v>
      </c>
      <c r="CT47" s="137">
        <f t="shared" si="17"/>
        <v>2</v>
      </c>
    </row>
    <row r="48" spans="1:98" ht="15" customHeight="1" x14ac:dyDescent="0.2">
      <c r="A48" s="382"/>
      <c r="B48" s="413"/>
      <c r="C48" s="196" t="s">
        <v>169</v>
      </c>
      <c r="D48" s="197" t="s">
        <v>252</v>
      </c>
      <c r="E48" s="200" t="s">
        <v>3</v>
      </c>
      <c r="F48" s="301">
        <f>F1*(85*(1.014*1.012*1.015)*1.1/1.21)*1.028</f>
        <v>84.682118051076003</v>
      </c>
      <c r="H48" s="43"/>
      <c r="I48" s="24"/>
      <c r="J48" s="24"/>
      <c r="K48" s="24"/>
      <c r="L48" s="25"/>
      <c r="M48" s="114">
        <f t="shared" si="60"/>
        <v>0</v>
      </c>
      <c r="N48" s="198">
        <v>1</v>
      </c>
      <c r="O48" s="199">
        <f>$F48*M48*N48</f>
        <v>0</v>
      </c>
      <c r="P48" s="379"/>
      <c r="Q48" s="376"/>
      <c r="R48" s="376"/>
      <c r="S48" s="376"/>
      <c r="T48" s="376"/>
      <c r="U48" s="376"/>
      <c r="V48" s="373"/>
      <c r="W48" s="199">
        <f t="shared" si="49"/>
        <v>0</v>
      </c>
      <c r="Y48" s="43"/>
      <c r="Z48" s="24"/>
      <c r="AA48" s="24"/>
      <c r="AB48" s="24"/>
      <c r="AC48" s="25"/>
      <c r="AD48" s="114">
        <f>SUM(Y48:AC48)</f>
        <v>0</v>
      </c>
      <c r="AE48" s="198">
        <v>1</v>
      </c>
      <c r="AF48" s="199">
        <f>$F48*AD48*AE48</f>
        <v>0</v>
      </c>
      <c r="AG48" s="379"/>
      <c r="AH48" s="376"/>
      <c r="AI48" s="376"/>
      <c r="AJ48" s="376"/>
      <c r="AK48" s="376"/>
      <c r="AL48" s="376"/>
      <c r="AM48" s="373"/>
      <c r="AN48" s="199">
        <f t="shared" si="51"/>
        <v>0</v>
      </c>
      <c r="AP48" s="43"/>
      <c r="AQ48" s="24"/>
      <c r="AR48" s="24"/>
      <c r="AS48" s="24"/>
      <c r="AT48" s="25"/>
      <c r="AU48" s="114">
        <f>SUM(AP48:AT48)</f>
        <v>0</v>
      </c>
      <c r="AV48" s="198">
        <v>1</v>
      </c>
      <c r="AW48" s="199">
        <f>$F48*AU48*AV48</f>
        <v>0</v>
      </c>
      <c r="AX48" s="379"/>
      <c r="AY48" s="376"/>
      <c r="AZ48" s="376"/>
      <c r="BA48" s="376"/>
      <c r="BB48" s="376"/>
      <c r="BC48" s="376"/>
      <c r="BD48" s="373"/>
      <c r="BE48" s="199">
        <f t="shared" si="53"/>
        <v>0</v>
      </c>
      <c r="BG48" s="43"/>
      <c r="BH48" s="24"/>
      <c r="BI48" s="24"/>
      <c r="BJ48" s="24"/>
      <c r="BK48" s="25"/>
      <c r="BL48" s="114">
        <f>SUM(BG48:BK48)</f>
        <v>0</v>
      </c>
      <c r="BM48" s="198">
        <v>1</v>
      </c>
      <c r="BN48" s="199">
        <f>$F48*BL48*BM48</f>
        <v>0</v>
      </c>
      <c r="BO48" s="379"/>
      <c r="BP48" s="376"/>
      <c r="BQ48" s="376"/>
      <c r="BR48" s="376"/>
      <c r="BS48" s="376"/>
      <c r="BT48" s="376"/>
      <c r="BU48" s="373"/>
      <c r="BV48" s="199">
        <f t="shared" si="55"/>
        <v>0</v>
      </c>
      <c r="BX48" s="43"/>
      <c r="BY48" s="24"/>
      <c r="BZ48" s="24"/>
      <c r="CA48" s="24"/>
      <c r="CB48" s="25"/>
      <c r="CC48" s="114">
        <f>SUM(BX48:CB48)</f>
        <v>0</v>
      </c>
      <c r="CD48" s="198">
        <v>1</v>
      </c>
      <c r="CE48" s="199">
        <f>$F48*CC48*CD48</f>
        <v>0</v>
      </c>
      <c r="CF48" s="379"/>
      <c r="CG48" s="376"/>
      <c r="CH48" s="376"/>
      <c r="CI48" s="376"/>
      <c r="CJ48" s="376"/>
      <c r="CK48" s="376"/>
      <c r="CL48" s="373"/>
      <c r="CM48" s="199">
        <f t="shared" si="57"/>
        <v>0</v>
      </c>
      <c r="CN48" s="39"/>
      <c r="CO48" s="55"/>
      <c r="CP48" s="137">
        <f t="shared" si="58"/>
        <v>0</v>
      </c>
      <c r="CQ48" s="3"/>
      <c r="CR48" s="137">
        <f t="shared" si="59"/>
        <v>0</v>
      </c>
      <c r="CT48" s="137">
        <f t="shared" si="17"/>
        <v>0</v>
      </c>
    </row>
    <row r="49" spans="1:98" ht="15" customHeight="1" x14ac:dyDescent="0.2">
      <c r="A49" s="382"/>
      <c r="B49" s="413"/>
      <c r="C49" s="196" t="s">
        <v>170</v>
      </c>
      <c r="D49" s="197" t="s">
        <v>263</v>
      </c>
      <c r="E49" s="200" t="s">
        <v>3</v>
      </c>
      <c r="F49" s="301">
        <f>F1*(18*(1.014*1.012*1.015)*1.1/1.21)*1.028</f>
        <v>17.932683822580799</v>
      </c>
      <c r="H49" s="43"/>
      <c r="I49" s="24"/>
      <c r="J49" s="24"/>
      <c r="K49" s="24"/>
      <c r="L49" s="25"/>
      <c r="M49" s="114">
        <f t="shared" si="60"/>
        <v>0</v>
      </c>
      <c r="N49" s="198">
        <v>1</v>
      </c>
      <c r="O49" s="199">
        <f>$F49*M49*N49</f>
        <v>0</v>
      </c>
      <c r="P49" s="379"/>
      <c r="Q49" s="376"/>
      <c r="R49" s="376"/>
      <c r="S49" s="376"/>
      <c r="T49" s="376"/>
      <c r="U49" s="376"/>
      <c r="V49" s="373"/>
      <c r="W49" s="199">
        <f t="shared" si="49"/>
        <v>0</v>
      </c>
      <c r="Y49" s="43"/>
      <c r="Z49" s="24"/>
      <c r="AA49" s="24"/>
      <c r="AB49" s="24"/>
      <c r="AC49" s="25"/>
      <c r="AD49" s="114">
        <f>SUM(Y49:AC49)</f>
        <v>0</v>
      </c>
      <c r="AE49" s="198">
        <v>1</v>
      </c>
      <c r="AF49" s="199">
        <f>$F49*AD49*AE49</f>
        <v>0</v>
      </c>
      <c r="AG49" s="379"/>
      <c r="AH49" s="376"/>
      <c r="AI49" s="376"/>
      <c r="AJ49" s="376"/>
      <c r="AK49" s="376"/>
      <c r="AL49" s="376"/>
      <c r="AM49" s="373"/>
      <c r="AN49" s="199">
        <f t="shared" si="51"/>
        <v>0</v>
      </c>
      <c r="AP49" s="43"/>
      <c r="AQ49" s="24"/>
      <c r="AR49" s="24"/>
      <c r="AS49" s="24"/>
      <c r="AT49" s="25"/>
      <c r="AU49" s="114">
        <f>SUM(AP49:AT49)</f>
        <v>0</v>
      </c>
      <c r="AV49" s="198">
        <v>1</v>
      </c>
      <c r="AW49" s="199">
        <f>$F49*AU49*AV49</f>
        <v>0</v>
      </c>
      <c r="AX49" s="379"/>
      <c r="AY49" s="376"/>
      <c r="AZ49" s="376"/>
      <c r="BA49" s="376"/>
      <c r="BB49" s="376"/>
      <c r="BC49" s="376"/>
      <c r="BD49" s="373"/>
      <c r="BE49" s="199">
        <f t="shared" si="53"/>
        <v>0</v>
      </c>
      <c r="BG49" s="43"/>
      <c r="BH49" s="24"/>
      <c r="BI49" s="24"/>
      <c r="BJ49" s="24"/>
      <c r="BK49" s="25"/>
      <c r="BL49" s="114">
        <f>SUM(BG49:BK49)</f>
        <v>0</v>
      </c>
      <c r="BM49" s="198">
        <v>1</v>
      </c>
      <c r="BN49" s="199">
        <f>$F49*BL49*BM49</f>
        <v>0</v>
      </c>
      <c r="BO49" s="379"/>
      <c r="BP49" s="376"/>
      <c r="BQ49" s="376"/>
      <c r="BR49" s="376"/>
      <c r="BS49" s="376"/>
      <c r="BT49" s="376"/>
      <c r="BU49" s="373"/>
      <c r="BV49" s="199">
        <f t="shared" si="55"/>
        <v>0</v>
      </c>
      <c r="BX49" s="43"/>
      <c r="BY49" s="24"/>
      <c r="BZ49" s="24"/>
      <c r="CA49" s="24"/>
      <c r="CB49" s="25"/>
      <c r="CC49" s="114">
        <f>SUM(BX49:CB49)</f>
        <v>0</v>
      </c>
      <c r="CD49" s="198">
        <v>1</v>
      </c>
      <c r="CE49" s="199">
        <f>$F49*CC49*CD49</f>
        <v>0</v>
      </c>
      <c r="CF49" s="379"/>
      <c r="CG49" s="376"/>
      <c r="CH49" s="376"/>
      <c r="CI49" s="376"/>
      <c r="CJ49" s="376"/>
      <c r="CK49" s="376"/>
      <c r="CL49" s="373"/>
      <c r="CM49" s="199">
        <f t="shared" si="57"/>
        <v>0</v>
      </c>
      <c r="CN49" s="39"/>
      <c r="CO49" s="55"/>
      <c r="CP49" s="137">
        <f t="shared" si="58"/>
        <v>0</v>
      </c>
      <c r="CQ49" s="3"/>
      <c r="CR49" s="137">
        <f t="shared" si="59"/>
        <v>0</v>
      </c>
      <c r="CT49" s="137">
        <f t="shared" si="17"/>
        <v>0</v>
      </c>
    </row>
    <row r="50" spans="1:98" ht="15" customHeight="1" x14ac:dyDescent="0.2">
      <c r="A50" s="382"/>
      <c r="B50" s="413"/>
      <c r="C50" s="196" t="s">
        <v>171</v>
      </c>
      <c r="D50" s="197" t="s">
        <v>264</v>
      </c>
      <c r="E50" s="200" t="s">
        <v>3</v>
      </c>
      <c r="F50" s="301">
        <f>F1*(22*(1.014*1.012*1.015)*1.1/1.21)*1.028</f>
        <v>21.917724672043203</v>
      </c>
      <c r="H50" s="43"/>
      <c r="I50" s="24"/>
      <c r="J50" s="24"/>
      <c r="K50" s="24"/>
      <c r="L50" s="25"/>
      <c r="M50" s="114">
        <f t="shared" si="60"/>
        <v>0</v>
      </c>
      <c r="N50" s="198">
        <v>1</v>
      </c>
      <c r="O50" s="199">
        <f>$F50*M50*N50</f>
        <v>0</v>
      </c>
      <c r="P50" s="379"/>
      <c r="Q50" s="376"/>
      <c r="R50" s="376"/>
      <c r="S50" s="376"/>
      <c r="T50" s="376"/>
      <c r="U50" s="376"/>
      <c r="V50" s="373"/>
      <c r="W50" s="219">
        <f t="shared" si="49"/>
        <v>0</v>
      </c>
      <c r="Y50" s="43">
        <v>1</v>
      </c>
      <c r="Z50" s="24"/>
      <c r="AA50" s="24"/>
      <c r="AB50" s="24"/>
      <c r="AC50" s="25"/>
      <c r="AD50" s="114">
        <f>SUM(Y50:AC50)</f>
        <v>1</v>
      </c>
      <c r="AE50" s="198">
        <v>1</v>
      </c>
      <c r="AF50" s="199">
        <f>$F50*AD50*AE50</f>
        <v>21.917724672043203</v>
      </c>
      <c r="AG50" s="379"/>
      <c r="AH50" s="376"/>
      <c r="AI50" s="376"/>
      <c r="AJ50" s="376"/>
      <c r="AK50" s="376"/>
      <c r="AL50" s="376"/>
      <c r="AM50" s="373"/>
      <c r="AN50" s="219">
        <f t="shared" si="51"/>
        <v>28.900150658804563</v>
      </c>
      <c r="AP50" s="43"/>
      <c r="AQ50" s="24"/>
      <c r="AR50" s="24"/>
      <c r="AS50" s="24"/>
      <c r="AT50" s="25"/>
      <c r="AU50" s="114">
        <f>SUM(AP50:AT50)</f>
        <v>0</v>
      </c>
      <c r="AV50" s="198">
        <v>1</v>
      </c>
      <c r="AW50" s="199">
        <f>$F50*AU50*AV50</f>
        <v>0</v>
      </c>
      <c r="AX50" s="379"/>
      <c r="AY50" s="376"/>
      <c r="AZ50" s="376"/>
      <c r="BA50" s="376"/>
      <c r="BB50" s="376"/>
      <c r="BC50" s="376"/>
      <c r="BD50" s="373"/>
      <c r="BE50" s="219">
        <f t="shared" si="53"/>
        <v>0</v>
      </c>
      <c r="BG50" s="43"/>
      <c r="BH50" s="24"/>
      <c r="BI50" s="24"/>
      <c r="BJ50" s="24"/>
      <c r="BK50" s="25"/>
      <c r="BL50" s="114">
        <f>SUM(BG50:BK50)</f>
        <v>0</v>
      </c>
      <c r="BM50" s="198">
        <v>1</v>
      </c>
      <c r="BN50" s="199">
        <f>$F50*BL50*BM50</f>
        <v>0</v>
      </c>
      <c r="BO50" s="379"/>
      <c r="BP50" s="376"/>
      <c r="BQ50" s="376"/>
      <c r="BR50" s="376"/>
      <c r="BS50" s="376"/>
      <c r="BT50" s="376"/>
      <c r="BU50" s="373"/>
      <c r="BV50" s="219">
        <f t="shared" si="55"/>
        <v>0</v>
      </c>
      <c r="BX50" s="43"/>
      <c r="BY50" s="24"/>
      <c r="BZ50" s="24"/>
      <c r="CA50" s="24"/>
      <c r="CB50" s="25"/>
      <c r="CC50" s="114">
        <f>SUM(BX50:CB50)</f>
        <v>0</v>
      </c>
      <c r="CD50" s="198">
        <v>1</v>
      </c>
      <c r="CE50" s="199">
        <f>$F50*CC50*CD50</f>
        <v>0</v>
      </c>
      <c r="CF50" s="379"/>
      <c r="CG50" s="376"/>
      <c r="CH50" s="376"/>
      <c r="CI50" s="376"/>
      <c r="CJ50" s="376"/>
      <c r="CK50" s="376"/>
      <c r="CL50" s="373"/>
      <c r="CM50" s="219">
        <f t="shared" si="57"/>
        <v>0</v>
      </c>
      <c r="CN50" s="39"/>
      <c r="CO50" s="55"/>
      <c r="CP50" s="137">
        <f t="shared" si="58"/>
        <v>21.917724672043203</v>
      </c>
      <c r="CQ50" s="3"/>
      <c r="CR50" s="137">
        <f t="shared" si="59"/>
        <v>28.900150658804563</v>
      </c>
      <c r="CT50" s="137">
        <f t="shared" si="17"/>
        <v>1</v>
      </c>
    </row>
    <row r="51" spans="1:98" ht="15" customHeight="1" x14ac:dyDescent="0.2">
      <c r="A51" s="382"/>
      <c r="B51" s="414"/>
      <c r="C51" s="196" t="s">
        <v>172</v>
      </c>
      <c r="D51" s="220" t="s">
        <v>254</v>
      </c>
      <c r="E51" s="205" t="s">
        <v>10</v>
      </c>
      <c r="F51" s="323"/>
      <c r="H51" s="43"/>
      <c r="I51" s="24"/>
      <c r="J51" s="24"/>
      <c r="K51" s="24"/>
      <c r="L51" s="25"/>
      <c r="M51" s="114"/>
      <c r="N51" s="207"/>
      <c r="O51" s="199">
        <f>SUM(H51:L51)</f>
        <v>0</v>
      </c>
      <c r="P51" s="379"/>
      <c r="Q51" s="376"/>
      <c r="R51" s="376"/>
      <c r="S51" s="376"/>
      <c r="T51" s="376"/>
      <c r="U51" s="376"/>
      <c r="V51" s="373"/>
      <c r="W51" s="199">
        <f t="shared" si="49"/>
        <v>0</v>
      </c>
      <c r="Y51" s="43"/>
      <c r="Z51" s="24"/>
      <c r="AA51" s="24"/>
      <c r="AB51" s="24"/>
      <c r="AC51" s="25"/>
      <c r="AD51" s="114"/>
      <c r="AE51" s="207"/>
      <c r="AF51" s="199">
        <f>SUM(Y51:AC51)</f>
        <v>0</v>
      </c>
      <c r="AG51" s="379"/>
      <c r="AH51" s="376"/>
      <c r="AI51" s="376"/>
      <c r="AJ51" s="376"/>
      <c r="AK51" s="376"/>
      <c r="AL51" s="376"/>
      <c r="AM51" s="373"/>
      <c r="AN51" s="199">
        <f t="shared" si="51"/>
        <v>0</v>
      </c>
      <c r="AP51" s="43"/>
      <c r="AQ51" s="24"/>
      <c r="AR51" s="24"/>
      <c r="AS51" s="24"/>
      <c r="AT51" s="25"/>
      <c r="AU51" s="114"/>
      <c r="AV51" s="207"/>
      <c r="AW51" s="199">
        <f>SUM(AP51:AT51)</f>
        <v>0</v>
      </c>
      <c r="AX51" s="379"/>
      <c r="AY51" s="376"/>
      <c r="AZ51" s="376"/>
      <c r="BA51" s="376"/>
      <c r="BB51" s="376"/>
      <c r="BC51" s="376"/>
      <c r="BD51" s="373"/>
      <c r="BE51" s="199">
        <f t="shared" si="53"/>
        <v>0</v>
      </c>
      <c r="BG51" s="43"/>
      <c r="BH51" s="24"/>
      <c r="BI51" s="24"/>
      <c r="BJ51" s="24"/>
      <c r="BK51" s="25"/>
      <c r="BL51" s="114"/>
      <c r="BM51" s="207"/>
      <c r="BN51" s="199">
        <f>SUM(BG51:BK51)</f>
        <v>0</v>
      </c>
      <c r="BO51" s="379"/>
      <c r="BP51" s="376"/>
      <c r="BQ51" s="376"/>
      <c r="BR51" s="376"/>
      <c r="BS51" s="376"/>
      <c r="BT51" s="376"/>
      <c r="BU51" s="373"/>
      <c r="BV51" s="199">
        <f t="shared" si="55"/>
        <v>0</v>
      </c>
      <c r="BX51" s="43"/>
      <c r="BY51" s="24"/>
      <c r="BZ51" s="24"/>
      <c r="CA51" s="24"/>
      <c r="CB51" s="25"/>
      <c r="CC51" s="114"/>
      <c r="CD51" s="207"/>
      <c r="CE51" s="199">
        <f>SUM(BX51:CB51)</f>
        <v>0</v>
      </c>
      <c r="CF51" s="379"/>
      <c r="CG51" s="376"/>
      <c r="CH51" s="376"/>
      <c r="CI51" s="376"/>
      <c r="CJ51" s="376"/>
      <c r="CK51" s="376"/>
      <c r="CL51" s="373"/>
      <c r="CM51" s="199">
        <f t="shared" si="57"/>
        <v>0</v>
      </c>
      <c r="CN51" s="39"/>
      <c r="CO51" s="55"/>
      <c r="CP51" s="137">
        <f t="shared" si="58"/>
        <v>0</v>
      </c>
      <c r="CQ51" s="3"/>
      <c r="CR51" s="137">
        <f t="shared" si="59"/>
        <v>0</v>
      </c>
      <c r="CT51" s="137">
        <f t="shared" si="17"/>
        <v>0</v>
      </c>
    </row>
    <row r="52" spans="1:98" ht="15" customHeight="1" x14ac:dyDescent="0.2">
      <c r="A52" s="382"/>
      <c r="B52" s="433" t="s">
        <v>41</v>
      </c>
      <c r="C52" s="196" t="s">
        <v>173</v>
      </c>
      <c r="D52" s="201" t="s">
        <v>357</v>
      </c>
      <c r="E52" s="202"/>
      <c r="F52" s="322"/>
      <c r="H52" s="43"/>
      <c r="I52" s="24"/>
      <c r="J52" s="24"/>
      <c r="K52" s="24"/>
      <c r="L52" s="25"/>
      <c r="M52" s="114">
        <f>SUM(H52:L52)</f>
        <v>0</v>
      </c>
      <c r="N52" s="198">
        <v>1</v>
      </c>
      <c r="O52" s="199">
        <f>$F52*M52*N52</f>
        <v>0</v>
      </c>
      <c r="P52" s="379"/>
      <c r="Q52" s="376"/>
      <c r="R52" s="376"/>
      <c r="S52" s="376"/>
      <c r="T52" s="376"/>
      <c r="U52" s="376"/>
      <c r="V52" s="373"/>
      <c r="W52" s="199">
        <f t="shared" si="49"/>
        <v>0</v>
      </c>
      <c r="Y52" s="43"/>
      <c r="Z52" s="24"/>
      <c r="AA52" s="24"/>
      <c r="AB52" s="24"/>
      <c r="AC52" s="25"/>
      <c r="AD52" s="114">
        <f>SUM(Y52:AC52)</f>
        <v>0</v>
      </c>
      <c r="AE52" s="198">
        <v>1</v>
      </c>
      <c r="AF52" s="199">
        <f>$F52*AD52*AE52</f>
        <v>0</v>
      </c>
      <c r="AG52" s="379"/>
      <c r="AH52" s="376"/>
      <c r="AI52" s="376"/>
      <c r="AJ52" s="376"/>
      <c r="AK52" s="376"/>
      <c r="AL52" s="376"/>
      <c r="AM52" s="373"/>
      <c r="AN52" s="199">
        <f t="shared" si="51"/>
        <v>0</v>
      </c>
      <c r="AP52" s="43"/>
      <c r="AQ52" s="24"/>
      <c r="AR52" s="24"/>
      <c r="AS52" s="24"/>
      <c r="AT52" s="25"/>
      <c r="AU52" s="114">
        <f>SUM(AP52:AT52)</f>
        <v>0</v>
      </c>
      <c r="AV52" s="198">
        <v>1</v>
      </c>
      <c r="AW52" s="199">
        <f>$F52*AU52*AV52</f>
        <v>0</v>
      </c>
      <c r="AX52" s="379"/>
      <c r="AY52" s="376"/>
      <c r="AZ52" s="376"/>
      <c r="BA52" s="376"/>
      <c r="BB52" s="376"/>
      <c r="BC52" s="376"/>
      <c r="BD52" s="373"/>
      <c r="BE52" s="199">
        <f t="shared" si="53"/>
        <v>0</v>
      </c>
      <c r="BG52" s="43"/>
      <c r="BH52" s="24"/>
      <c r="BI52" s="24"/>
      <c r="BJ52" s="24"/>
      <c r="BK52" s="25"/>
      <c r="BL52" s="114">
        <f>SUM(BG52:BK52)</f>
        <v>0</v>
      </c>
      <c r="BM52" s="198">
        <v>1</v>
      </c>
      <c r="BN52" s="199">
        <f>$F52*BL52*BM52</f>
        <v>0</v>
      </c>
      <c r="BO52" s="379"/>
      <c r="BP52" s="376"/>
      <c r="BQ52" s="376"/>
      <c r="BR52" s="376"/>
      <c r="BS52" s="376"/>
      <c r="BT52" s="376"/>
      <c r="BU52" s="373"/>
      <c r="BV52" s="199">
        <f t="shared" si="55"/>
        <v>0</v>
      </c>
      <c r="BX52" s="43"/>
      <c r="BY52" s="24"/>
      <c r="BZ52" s="24"/>
      <c r="CA52" s="24"/>
      <c r="CB52" s="25"/>
      <c r="CC52" s="114">
        <f>SUM(BX52:CB52)</f>
        <v>0</v>
      </c>
      <c r="CD52" s="198">
        <v>1</v>
      </c>
      <c r="CE52" s="199">
        <f>$F52*CC52*CD52</f>
        <v>0</v>
      </c>
      <c r="CF52" s="379"/>
      <c r="CG52" s="376"/>
      <c r="CH52" s="376"/>
      <c r="CI52" s="376"/>
      <c r="CJ52" s="376"/>
      <c r="CK52" s="376"/>
      <c r="CL52" s="373"/>
      <c r="CM52" s="199">
        <f t="shared" si="57"/>
        <v>0</v>
      </c>
      <c r="CN52" s="39"/>
      <c r="CO52" s="55"/>
      <c r="CP52" s="137">
        <f t="shared" si="58"/>
        <v>0</v>
      </c>
      <c r="CQ52" s="3"/>
      <c r="CR52" s="137">
        <f t="shared" si="59"/>
        <v>0</v>
      </c>
      <c r="CT52" s="137">
        <f t="shared" si="17"/>
        <v>0</v>
      </c>
    </row>
    <row r="53" spans="1:98" ht="15" customHeight="1" x14ac:dyDescent="0.2">
      <c r="A53" s="382"/>
      <c r="B53" s="434"/>
      <c r="C53" s="196" t="s">
        <v>174</v>
      </c>
      <c r="D53" s="201" t="s">
        <v>357</v>
      </c>
      <c r="E53" s="202"/>
      <c r="F53" s="322"/>
      <c r="H53" s="43"/>
      <c r="I53" s="24"/>
      <c r="J53" s="24"/>
      <c r="K53" s="24"/>
      <c r="L53" s="25"/>
      <c r="M53" s="114">
        <f t="shared" si="60"/>
        <v>0</v>
      </c>
      <c r="N53" s="198">
        <v>1</v>
      </c>
      <c r="O53" s="199">
        <f>$F53*M53*N53</f>
        <v>0</v>
      </c>
      <c r="P53" s="379"/>
      <c r="Q53" s="376"/>
      <c r="R53" s="376"/>
      <c r="S53" s="376"/>
      <c r="T53" s="376"/>
      <c r="U53" s="376"/>
      <c r="V53" s="373"/>
      <c r="W53" s="199">
        <f t="shared" si="49"/>
        <v>0</v>
      </c>
      <c r="Y53" s="43"/>
      <c r="Z53" s="24"/>
      <c r="AA53" s="24"/>
      <c r="AB53" s="24"/>
      <c r="AC53" s="25"/>
      <c r="AD53" s="114">
        <f>SUM(Y53:AC53)</f>
        <v>0</v>
      </c>
      <c r="AE53" s="198">
        <v>1</v>
      </c>
      <c r="AF53" s="199">
        <f>$F53*AD53*AE53</f>
        <v>0</v>
      </c>
      <c r="AG53" s="379"/>
      <c r="AH53" s="376"/>
      <c r="AI53" s="376"/>
      <c r="AJ53" s="376"/>
      <c r="AK53" s="376"/>
      <c r="AL53" s="376"/>
      <c r="AM53" s="373"/>
      <c r="AN53" s="199">
        <f t="shared" si="51"/>
        <v>0</v>
      </c>
      <c r="AP53" s="43"/>
      <c r="AQ53" s="24"/>
      <c r="AR53" s="24"/>
      <c r="AS53" s="24"/>
      <c r="AT53" s="25"/>
      <c r="AU53" s="114">
        <f>SUM(AP53:AT53)</f>
        <v>0</v>
      </c>
      <c r="AV53" s="198">
        <v>1</v>
      </c>
      <c r="AW53" s="199">
        <f>$F53*AU53*AV53</f>
        <v>0</v>
      </c>
      <c r="AX53" s="379"/>
      <c r="AY53" s="376"/>
      <c r="AZ53" s="376"/>
      <c r="BA53" s="376"/>
      <c r="BB53" s="376"/>
      <c r="BC53" s="376"/>
      <c r="BD53" s="373"/>
      <c r="BE53" s="199">
        <f t="shared" si="53"/>
        <v>0</v>
      </c>
      <c r="BG53" s="43"/>
      <c r="BH53" s="24"/>
      <c r="BI53" s="24"/>
      <c r="BJ53" s="24"/>
      <c r="BK53" s="25"/>
      <c r="BL53" s="114">
        <f>SUM(BG53:BK53)</f>
        <v>0</v>
      </c>
      <c r="BM53" s="198">
        <v>1</v>
      </c>
      <c r="BN53" s="199">
        <f>$F53*BL53*BM53</f>
        <v>0</v>
      </c>
      <c r="BO53" s="379"/>
      <c r="BP53" s="376"/>
      <c r="BQ53" s="376"/>
      <c r="BR53" s="376"/>
      <c r="BS53" s="376"/>
      <c r="BT53" s="376"/>
      <c r="BU53" s="373"/>
      <c r="BV53" s="199">
        <f t="shared" si="55"/>
        <v>0</v>
      </c>
      <c r="BX53" s="43"/>
      <c r="BY53" s="24"/>
      <c r="BZ53" s="24"/>
      <c r="CA53" s="24"/>
      <c r="CB53" s="25"/>
      <c r="CC53" s="114">
        <f>SUM(BX53:CB53)</f>
        <v>0</v>
      </c>
      <c r="CD53" s="198">
        <v>1</v>
      </c>
      <c r="CE53" s="199">
        <f>$F53*CC53*CD53</f>
        <v>0</v>
      </c>
      <c r="CF53" s="379"/>
      <c r="CG53" s="376"/>
      <c r="CH53" s="376"/>
      <c r="CI53" s="376"/>
      <c r="CJ53" s="376"/>
      <c r="CK53" s="376"/>
      <c r="CL53" s="373"/>
      <c r="CM53" s="199">
        <f t="shared" si="57"/>
        <v>0</v>
      </c>
      <c r="CN53" s="39"/>
      <c r="CO53" s="55"/>
      <c r="CP53" s="137">
        <f t="shared" si="58"/>
        <v>0</v>
      </c>
      <c r="CQ53" s="3"/>
      <c r="CR53" s="137">
        <f t="shared" si="59"/>
        <v>0</v>
      </c>
      <c r="CT53" s="137">
        <f t="shared" si="17"/>
        <v>0</v>
      </c>
    </row>
    <row r="54" spans="1:98" ht="15" customHeight="1" x14ac:dyDescent="0.2">
      <c r="A54" s="382"/>
      <c r="B54" s="434"/>
      <c r="C54" s="196" t="s">
        <v>175</v>
      </c>
      <c r="D54" s="201" t="s">
        <v>357</v>
      </c>
      <c r="E54" s="202"/>
      <c r="F54" s="322"/>
      <c r="H54" s="43"/>
      <c r="I54" s="24"/>
      <c r="J54" s="24"/>
      <c r="K54" s="24"/>
      <c r="L54" s="25"/>
      <c r="M54" s="114">
        <f t="shared" si="60"/>
        <v>0</v>
      </c>
      <c r="N54" s="198">
        <v>1</v>
      </c>
      <c r="O54" s="199">
        <f>$F54*M54*N54</f>
        <v>0</v>
      </c>
      <c r="P54" s="379"/>
      <c r="Q54" s="376"/>
      <c r="R54" s="376"/>
      <c r="S54" s="376"/>
      <c r="T54" s="376"/>
      <c r="U54" s="376"/>
      <c r="V54" s="373"/>
      <c r="W54" s="199">
        <f t="shared" si="49"/>
        <v>0</v>
      </c>
      <c r="Y54" s="43"/>
      <c r="Z54" s="24"/>
      <c r="AA54" s="24"/>
      <c r="AB54" s="24"/>
      <c r="AC54" s="25"/>
      <c r="AD54" s="114">
        <f>SUM(Y54:AC54)</f>
        <v>0</v>
      </c>
      <c r="AE54" s="198">
        <v>1</v>
      </c>
      <c r="AF54" s="199">
        <f>$F54*AD54*AE54</f>
        <v>0</v>
      </c>
      <c r="AG54" s="379"/>
      <c r="AH54" s="376"/>
      <c r="AI54" s="376"/>
      <c r="AJ54" s="376"/>
      <c r="AK54" s="376"/>
      <c r="AL54" s="376"/>
      <c r="AM54" s="373"/>
      <c r="AN54" s="199">
        <f t="shared" si="51"/>
        <v>0</v>
      </c>
      <c r="AP54" s="43"/>
      <c r="AQ54" s="24"/>
      <c r="AR54" s="24"/>
      <c r="AS54" s="24"/>
      <c r="AT54" s="25"/>
      <c r="AU54" s="114">
        <f>SUM(AP54:AT54)</f>
        <v>0</v>
      </c>
      <c r="AV54" s="198">
        <v>1</v>
      </c>
      <c r="AW54" s="199">
        <f>$F54*AU54*AV54</f>
        <v>0</v>
      </c>
      <c r="AX54" s="379"/>
      <c r="AY54" s="376"/>
      <c r="AZ54" s="376"/>
      <c r="BA54" s="376"/>
      <c r="BB54" s="376"/>
      <c r="BC54" s="376"/>
      <c r="BD54" s="373"/>
      <c r="BE54" s="199">
        <f t="shared" si="53"/>
        <v>0</v>
      </c>
      <c r="BG54" s="43"/>
      <c r="BH54" s="24"/>
      <c r="BI54" s="24"/>
      <c r="BJ54" s="24"/>
      <c r="BK54" s="25"/>
      <c r="BL54" s="114">
        <f>SUM(BG54:BK54)</f>
        <v>0</v>
      </c>
      <c r="BM54" s="198">
        <v>1</v>
      </c>
      <c r="BN54" s="199">
        <f>$F54*BL54*BM54</f>
        <v>0</v>
      </c>
      <c r="BO54" s="379"/>
      <c r="BP54" s="376"/>
      <c r="BQ54" s="376"/>
      <c r="BR54" s="376"/>
      <c r="BS54" s="376"/>
      <c r="BT54" s="376"/>
      <c r="BU54" s="373"/>
      <c r="BV54" s="199">
        <f t="shared" si="55"/>
        <v>0</v>
      </c>
      <c r="BX54" s="43"/>
      <c r="BY54" s="24"/>
      <c r="BZ54" s="24"/>
      <c r="CA54" s="24"/>
      <c r="CB54" s="25"/>
      <c r="CC54" s="114">
        <f>SUM(BX54:CB54)</f>
        <v>0</v>
      </c>
      <c r="CD54" s="198">
        <v>1</v>
      </c>
      <c r="CE54" s="199">
        <f>$F54*CC54*CD54</f>
        <v>0</v>
      </c>
      <c r="CF54" s="379"/>
      <c r="CG54" s="376"/>
      <c r="CH54" s="376"/>
      <c r="CI54" s="376"/>
      <c r="CJ54" s="376"/>
      <c r="CK54" s="376"/>
      <c r="CL54" s="373"/>
      <c r="CM54" s="199">
        <f t="shared" si="57"/>
        <v>0</v>
      </c>
      <c r="CN54" s="39"/>
      <c r="CO54" s="55"/>
      <c r="CP54" s="137">
        <f t="shared" si="58"/>
        <v>0</v>
      </c>
      <c r="CQ54" s="3"/>
      <c r="CR54" s="137">
        <f t="shared" si="59"/>
        <v>0</v>
      </c>
      <c r="CT54" s="137">
        <f t="shared" si="17"/>
        <v>0</v>
      </c>
    </row>
    <row r="55" spans="1:98" ht="15" customHeight="1" x14ac:dyDescent="0.2">
      <c r="A55" s="382"/>
      <c r="B55" s="434"/>
      <c r="C55" s="196" t="s">
        <v>176</v>
      </c>
      <c r="D55" s="204" t="s">
        <v>215</v>
      </c>
      <c r="E55" s="205" t="s">
        <v>10</v>
      </c>
      <c r="F55" s="323"/>
      <c r="H55" s="43"/>
      <c r="I55" s="24"/>
      <c r="J55" s="24"/>
      <c r="K55" s="24"/>
      <c r="L55" s="25"/>
      <c r="M55" s="114"/>
      <c r="N55" s="207"/>
      <c r="O55" s="199">
        <f>SUM(H55:L55)</f>
        <v>0</v>
      </c>
      <c r="P55" s="379"/>
      <c r="Q55" s="376"/>
      <c r="R55" s="376"/>
      <c r="S55" s="376"/>
      <c r="T55" s="376"/>
      <c r="U55" s="376"/>
      <c r="V55" s="373"/>
      <c r="W55" s="199">
        <f t="shared" si="49"/>
        <v>0</v>
      </c>
      <c r="Y55" s="43"/>
      <c r="Z55" s="24"/>
      <c r="AA55" s="24"/>
      <c r="AB55" s="24"/>
      <c r="AC55" s="25"/>
      <c r="AD55" s="114"/>
      <c r="AE55" s="207"/>
      <c r="AF55" s="199">
        <f>SUM(Y55:AC55)</f>
        <v>0</v>
      </c>
      <c r="AG55" s="379"/>
      <c r="AH55" s="376"/>
      <c r="AI55" s="376"/>
      <c r="AJ55" s="376"/>
      <c r="AK55" s="376"/>
      <c r="AL55" s="376"/>
      <c r="AM55" s="373"/>
      <c r="AN55" s="199">
        <f t="shared" si="51"/>
        <v>0</v>
      </c>
      <c r="AP55" s="43"/>
      <c r="AQ55" s="24"/>
      <c r="AR55" s="24"/>
      <c r="AS55" s="24"/>
      <c r="AT55" s="25"/>
      <c r="AU55" s="114"/>
      <c r="AV55" s="207"/>
      <c r="AW55" s="199">
        <f>SUM(AP55:AT55)</f>
        <v>0</v>
      </c>
      <c r="AX55" s="379"/>
      <c r="AY55" s="376"/>
      <c r="AZ55" s="376"/>
      <c r="BA55" s="376"/>
      <c r="BB55" s="376"/>
      <c r="BC55" s="376"/>
      <c r="BD55" s="373"/>
      <c r="BE55" s="199">
        <f t="shared" si="53"/>
        <v>0</v>
      </c>
      <c r="BG55" s="43"/>
      <c r="BH55" s="24"/>
      <c r="BI55" s="24"/>
      <c r="BJ55" s="24"/>
      <c r="BK55" s="25"/>
      <c r="BL55" s="114"/>
      <c r="BM55" s="207"/>
      <c r="BN55" s="199">
        <f>SUM(BG55:BK55)</f>
        <v>0</v>
      </c>
      <c r="BO55" s="379"/>
      <c r="BP55" s="376"/>
      <c r="BQ55" s="376"/>
      <c r="BR55" s="376"/>
      <c r="BS55" s="376"/>
      <c r="BT55" s="376"/>
      <c r="BU55" s="373"/>
      <c r="BV55" s="199">
        <f t="shared" si="55"/>
        <v>0</v>
      </c>
      <c r="BX55" s="43"/>
      <c r="BY55" s="24"/>
      <c r="BZ55" s="24"/>
      <c r="CA55" s="24"/>
      <c r="CB55" s="25"/>
      <c r="CC55" s="114"/>
      <c r="CD55" s="207"/>
      <c r="CE55" s="199">
        <f>SUM(BX55:CB55)</f>
        <v>0</v>
      </c>
      <c r="CF55" s="379"/>
      <c r="CG55" s="376"/>
      <c r="CH55" s="376"/>
      <c r="CI55" s="376"/>
      <c r="CJ55" s="376"/>
      <c r="CK55" s="376"/>
      <c r="CL55" s="373"/>
      <c r="CM55" s="199">
        <f t="shared" si="57"/>
        <v>0</v>
      </c>
      <c r="CN55" s="39"/>
      <c r="CO55" s="55"/>
      <c r="CP55" s="137">
        <f t="shared" si="58"/>
        <v>0</v>
      </c>
      <c r="CQ55" s="3"/>
      <c r="CR55" s="137">
        <f t="shared" si="59"/>
        <v>0</v>
      </c>
      <c r="CT55" s="137">
        <f t="shared" si="17"/>
        <v>0</v>
      </c>
    </row>
    <row r="56" spans="1:98" ht="15" customHeight="1" x14ac:dyDescent="0.2">
      <c r="A56" s="382"/>
      <c r="B56" s="434"/>
      <c r="C56" s="196" t="s">
        <v>177</v>
      </c>
      <c r="D56" s="208" t="s">
        <v>215</v>
      </c>
      <c r="E56" s="205" t="s">
        <v>10</v>
      </c>
      <c r="F56" s="323"/>
      <c r="H56" s="43"/>
      <c r="I56" s="24"/>
      <c r="J56" s="24"/>
      <c r="K56" s="24"/>
      <c r="L56" s="25"/>
      <c r="M56" s="114"/>
      <c r="N56" s="207"/>
      <c r="O56" s="199">
        <f>SUM(H56:L56)</f>
        <v>0</v>
      </c>
      <c r="P56" s="380"/>
      <c r="Q56" s="377"/>
      <c r="R56" s="377"/>
      <c r="S56" s="377"/>
      <c r="T56" s="377"/>
      <c r="U56" s="377"/>
      <c r="V56" s="374"/>
      <c r="W56" s="199">
        <f t="shared" si="49"/>
        <v>0</v>
      </c>
      <c r="Y56" s="43"/>
      <c r="Z56" s="24"/>
      <c r="AA56" s="24"/>
      <c r="AB56" s="24"/>
      <c r="AC56" s="25"/>
      <c r="AD56" s="114"/>
      <c r="AE56" s="207"/>
      <c r="AF56" s="199">
        <f>SUM(Y56:AC56)</f>
        <v>0</v>
      </c>
      <c r="AG56" s="380"/>
      <c r="AH56" s="377"/>
      <c r="AI56" s="377"/>
      <c r="AJ56" s="377"/>
      <c r="AK56" s="377"/>
      <c r="AL56" s="377"/>
      <c r="AM56" s="374"/>
      <c r="AN56" s="199">
        <f t="shared" si="51"/>
        <v>0</v>
      </c>
      <c r="AP56" s="43"/>
      <c r="AQ56" s="24"/>
      <c r="AR56" s="24"/>
      <c r="AS56" s="24"/>
      <c r="AT56" s="25"/>
      <c r="AU56" s="114"/>
      <c r="AV56" s="207"/>
      <c r="AW56" s="199">
        <f>SUM(AP56:AT56)</f>
        <v>0</v>
      </c>
      <c r="AX56" s="380"/>
      <c r="AY56" s="377"/>
      <c r="AZ56" s="377"/>
      <c r="BA56" s="377"/>
      <c r="BB56" s="377"/>
      <c r="BC56" s="377"/>
      <c r="BD56" s="374"/>
      <c r="BE56" s="199">
        <f t="shared" si="53"/>
        <v>0</v>
      </c>
      <c r="BG56" s="43"/>
      <c r="BH56" s="24"/>
      <c r="BI56" s="24"/>
      <c r="BJ56" s="24"/>
      <c r="BK56" s="25"/>
      <c r="BL56" s="114"/>
      <c r="BM56" s="207"/>
      <c r="BN56" s="199">
        <f>SUM(BG56:BK56)</f>
        <v>0</v>
      </c>
      <c r="BO56" s="380"/>
      <c r="BP56" s="377"/>
      <c r="BQ56" s="377"/>
      <c r="BR56" s="377"/>
      <c r="BS56" s="377"/>
      <c r="BT56" s="377"/>
      <c r="BU56" s="374"/>
      <c r="BV56" s="199">
        <f t="shared" si="55"/>
        <v>0</v>
      </c>
      <c r="BX56" s="43"/>
      <c r="BY56" s="24"/>
      <c r="BZ56" s="24"/>
      <c r="CA56" s="24"/>
      <c r="CB56" s="25"/>
      <c r="CC56" s="114"/>
      <c r="CD56" s="207"/>
      <c r="CE56" s="199">
        <f>SUM(BX56:CB56)</f>
        <v>0</v>
      </c>
      <c r="CF56" s="380"/>
      <c r="CG56" s="377"/>
      <c r="CH56" s="377"/>
      <c r="CI56" s="377"/>
      <c r="CJ56" s="377"/>
      <c r="CK56" s="377"/>
      <c r="CL56" s="374"/>
      <c r="CM56" s="199">
        <f t="shared" si="57"/>
        <v>0</v>
      </c>
      <c r="CN56" s="39"/>
      <c r="CO56" s="3"/>
      <c r="CP56" s="137">
        <f t="shared" si="58"/>
        <v>0</v>
      </c>
      <c r="CQ56" s="3"/>
      <c r="CR56" s="137">
        <f t="shared" si="59"/>
        <v>0</v>
      </c>
      <c r="CT56" s="137">
        <f t="shared" si="17"/>
        <v>0</v>
      </c>
    </row>
    <row r="57" spans="1:98" ht="15" customHeight="1" thickBot="1" x14ac:dyDescent="0.25">
      <c r="A57" s="383"/>
      <c r="B57" s="223"/>
      <c r="C57" s="224"/>
      <c r="D57" s="225" t="s">
        <v>22</v>
      </c>
      <c r="E57" s="224"/>
      <c r="F57" s="325"/>
      <c r="H57" s="141"/>
      <c r="I57" s="142"/>
      <c r="J57" s="142"/>
      <c r="K57" s="142"/>
      <c r="L57" s="142"/>
      <c r="M57" s="227"/>
      <c r="N57" s="228"/>
      <c r="O57" s="229">
        <f>SUM(O42:O56)</f>
        <v>0</v>
      </c>
      <c r="P57" s="230"/>
      <c r="Q57" s="230"/>
      <c r="R57" s="230"/>
      <c r="S57" s="230"/>
      <c r="T57" s="230"/>
      <c r="U57" s="230"/>
      <c r="V57" s="228"/>
      <c r="W57" s="229">
        <f>SUM(W42:W56)</f>
        <v>0</v>
      </c>
      <c r="Y57" s="141"/>
      <c r="Z57" s="142"/>
      <c r="AA57" s="142"/>
      <c r="AB57" s="142"/>
      <c r="AC57" s="142"/>
      <c r="AD57" s="227"/>
      <c r="AE57" s="228"/>
      <c r="AF57" s="229">
        <f>SUM(AF42:AF56)</f>
        <v>111.58114378494719</v>
      </c>
      <c r="AG57" s="230"/>
      <c r="AH57" s="230"/>
      <c r="AI57" s="230"/>
      <c r="AJ57" s="230"/>
      <c r="AK57" s="230"/>
      <c r="AL57" s="230"/>
      <c r="AM57" s="228"/>
      <c r="AN57" s="229">
        <f>SUM(AN42:AN56)</f>
        <v>147.12803971755045</v>
      </c>
      <c r="AP57" s="141"/>
      <c r="AQ57" s="142"/>
      <c r="AR57" s="142"/>
      <c r="AS57" s="142"/>
      <c r="AT57" s="142"/>
      <c r="AU57" s="227"/>
      <c r="AV57" s="228"/>
      <c r="AW57" s="229">
        <f>SUM(AW42:AW56)</f>
        <v>0</v>
      </c>
      <c r="AX57" s="230"/>
      <c r="AY57" s="230"/>
      <c r="AZ57" s="230"/>
      <c r="BA57" s="230"/>
      <c r="BB57" s="230"/>
      <c r="BC57" s="230"/>
      <c r="BD57" s="228"/>
      <c r="BE57" s="229">
        <f>SUM(BE42:BE56)</f>
        <v>0</v>
      </c>
      <c r="BG57" s="141"/>
      <c r="BH57" s="142"/>
      <c r="BI57" s="142"/>
      <c r="BJ57" s="142"/>
      <c r="BK57" s="142"/>
      <c r="BL57" s="227"/>
      <c r="BM57" s="228"/>
      <c r="BN57" s="229">
        <f>SUM(BN42:BN56)</f>
        <v>0</v>
      </c>
      <c r="BO57" s="230"/>
      <c r="BP57" s="230"/>
      <c r="BQ57" s="230"/>
      <c r="BR57" s="230"/>
      <c r="BS57" s="230"/>
      <c r="BT57" s="230"/>
      <c r="BU57" s="228"/>
      <c r="BV57" s="229">
        <f>SUM(BV42:BV56)</f>
        <v>0</v>
      </c>
      <c r="BX57" s="141"/>
      <c r="BY57" s="142"/>
      <c r="BZ57" s="142"/>
      <c r="CA57" s="142"/>
      <c r="CB57" s="142"/>
      <c r="CC57" s="227"/>
      <c r="CD57" s="228"/>
      <c r="CE57" s="229">
        <f>SUM(CE42:CE56)</f>
        <v>0</v>
      </c>
      <c r="CF57" s="230"/>
      <c r="CG57" s="230"/>
      <c r="CH57" s="230"/>
      <c r="CI57" s="230"/>
      <c r="CJ57" s="230"/>
      <c r="CK57" s="230"/>
      <c r="CL57" s="228"/>
      <c r="CM57" s="229">
        <f>SUM(CM42:CM56)</f>
        <v>0</v>
      </c>
      <c r="CN57" s="39"/>
      <c r="CO57" s="3"/>
      <c r="CP57" s="217">
        <f>SUM(CP42:CP56)</f>
        <v>111.58114378494719</v>
      </c>
      <c r="CQ57" s="3"/>
      <c r="CR57" s="217">
        <f>SUM(CR42:CR56)</f>
        <v>147.12803971755045</v>
      </c>
      <c r="CT57" s="217"/>
    </row>
    <row r="58" spans="1:98" ht="15" customHeight="1" x14ac:dyDescent="0.2">
      <c r="A58" s="384" t="s">
        <v>406</v>
      </c>
      <c r="B58" s="412" t="s">
        <v>525</v>
      </c>
      <c r="C58" s="231" t="s">
        <v>178</v>
      </c>
      <c r="D58" s="332" t="s">
        <v>186</v>
      </c>
      <c r="E58" s="231" t="s">
        <v>185</v>
      </c>
      <c r="F58" s="304">
        <f>F1*(0.001*(1.014*1.012*1.015)*1.1/1.17)*1.028</f>
        <v>1.0303203905661334E-3</v>
      </c>
      <c r="H58" s="41"/>
      <c r="I58" s="46"/>
      <c r="J58" s="46"/>
      <c r="K58" s="46"/>
      <c r="L58" s="47"/>
      <c r="M58" s="192">
        <f>SUM(H58:L58)</f>
        <v>0</v>
      </c>
      <c r="N58" s="193">
        <v>1</v>
      </c>
      <c r="O58" s="194">
        <f>$F58*M58*N58</f>
        <v>0</v>
      </c>
      <c r="P58" s="378">
        <f>VLOOKUP(P5,'Databaze rizik'!$K$2:$Z$6,5,FALSE)/100+1</f>
        <v>1.08</v>
      </c>
      <c r="Q58" s="375">
        <f>VLOOKUP(Q5,'Databaze rizik'!$K$21:$Z$25,5,FALSE)/100+1</f>
        <v>1.1299999999999999</v>
      </c>
      <c r="R58" s="375">
        <f>VLOOKUP(R5,'Databaze rizik'!$K$41:$Z$45,5,FALSE)/100+1</f>
        <v>1</v>
      </c>
      <c r="S58" s="375">
        <f>VLOOKUP(S5,'Databaze rizik'!$K$61:$Z$66,5,FALSE)/100+1</f>
        <v>1.02</v>
      </c>
      <c r="T58" s="375">
        <f>VLOOKUP(T5,'Databaze rizik'!$K$81:$Z$85,5,FALSE)/100+1</f>
        <v>1.04</v>
      </c>
      <c r="U58" s="375">
        <f>VLOOKUP(U5,'Databaze rizik'!$K$101:$Z$105,5,FALSE)/100+1</f>
        <v>1</v>
      </c>
      <c r="V58" s="372">
        <f t="shared" ref="V58" si="61">P58*Q58*R58*S58*T58*U58</f>
        <v>1.29460032</v>
      </c>
      <c r="W58" s="194">
        <f t="shared" ref="W58:W64" si="62">O58*V$58</f>
        <v>0</v>
      </c>
      <c r="Y58" s="41">
        <v>9000</v>
      </c>
      <c r="Z58" s="46"/>
      <c r="AA58" s="46"/>
      <c r="AB58" s="46"/>
      <c r="AC58" s="47"/>
      <c r="AD58" s="192">
        <f>SUM(Y58:AC58)</f>
        <v>9000</v>
      </c>
      <c r="AE58" s="193">
        <v>1</v>
      </c>
      <c r="AF58" s="194">
        <f>$F58*AD58*AE58</f>
        <v>9.2728835150952005</v>
      </c>
      <c r="AG58" s="378">
        <f>VLOOKUP(AG5,'Databaze rizik'!$K$2:$Z$6,5,FALSE)/100+1</f>
        <v>1.08</v>
      </c>
      <c r="AH58" s="375">
        <f>VLOOKUP(AH5,'Databaze rizik'!$K$21:$Z$25,5,FALSE)/100+1</f>
        <v>1.1299999999999999</v>
      </c>
      <c r="AI58" s="375">
        <f>VLOOKUP(AI5,'Databaze rizik'!$K$41:$Z$45,5,FALSE)/100+1</f>
        <v>1</v>
      </c>
      <c r="AJ58" s="375">
        <f>VLOOKUP(AJ5,'Databaze rizik'!$K$61:$Z$66,5,FALSE)/100+1</f>
        <v>1.02</v>
      </c>
      <c r="AK58" s="375">
        <f>VLOOKUP(AK5,'Databaze rizik'!$K$81:$Z$85,5,FALSE)/100+1</f>
        <v>1.04</v>
      </c>
      <c r="AL58" s="375">
        <f>VLOOKUP(AL5,'Databaze rizik'!$K$101:$Z$105,5,FALSE)/100+1</f>
        <v>1</v>
      </c>
      <c r="AM58" s="372">
        <f t="shared" ref="AM58" si="63">AG58*AH58*AI58*AJ58*AK58*AL58</f>
        <v>1.29460032</v>
      </c>
      <c r="AN58" s="194">
        <f t="shared" ref="AN58:AN64" si="64">AF58*AM$58</f>
        <v>12.004677965964971</v>
      </c>
      <c r="AP58" s="41"/>
      <c r="AQ58" s="46"/>
      <c r="AR58" s="46"/>
      <c r="AS58" s="46"/>
      <c r="AT58" s="47"/>
      <c r="AU58" s="192">
        <f>SUM(AP58:AT58)</f>
        <v>0</v>
      </c>
      <c r="AV58" s="193">
        <v>1</v>
      </c>
      <c r="AW58" s="194">
        <f>$F58*AU58*AV58</f>
        <v>0</v>
      </c>
      <c r="AX58" s="378">
        <f>VLOOKUP(AX5,'Databaze rizik'!$K$2:$Z$6,5,FALSE)/100+1</f>
        <v>1.08</v>
      </c>
      <c r="AY58" s="375">
        <f>VLOOKUP(AY5,'Databaze rizik'!$K$21:$Z$25,5,FALSE)/100+1</f>
        <v>1.1299999999999999</v>
      </c>
      <c r="AZ58" s="375">
        <f>VLOOKUP(AZ5,'Databaze rizik'!$K$41:$Z$45,5,FALSE)/100+1</f>
        <v>1</v>
      </c>
      <c r="BA58" s="375">
        <f>VLOOKUP(BA5,'Databaze rizik'!$K$61:$Z$66,5,FALSE)/100+1</f>
        <v>1.02</v>
      </c>
      <c r="BB58" s="375">
        <f>VLOOKUP(BB5,'Databaze rizik'!$K$81:$Z$85,5,FALSE)/100+1</f>
        <v>1.04</v>
      </c>
      <c r="BC58" s="375">
        <f>VLOOKUP(BC5,'Databaze rizik'!$K$101:$Z$105,5,FALSE)/100+1</f>
        <v>1</v>
      </c>
      <c r="BD58" s="372">
        <f t="shared" ref="BD58" si="65">AX58*AY58*AZ58*BA58*BB58*BC58</f>
        <v>1.29460032</v>
      </c>
      <c r="BE58" s="194">
        <f t="shared" ref="BE58:BE64" si="66">AW58*BD$58</f>
        <v>0</v>
      </c>
      <c r="BG58" s="41"/>
      <c r="BH58" s="46"/>
      <c r="BI58" s="46"/>
      <c r="BJ58" s="46"/>
      <c r="BK58" s="47"/>
      <c r="BL58" s="192">
        <f>SUM(BG58:BK58)</f>
        <v>0</v>
      </c>
      <c r="BM58" s="193">
        <v>1</v>
      </c>
      <c r="BN58" s="194">
        <f>$F58*BL58*BM58</f>
        <v>0</v>
      </c>
      <c r="BO58" s="378">
        <f>VLOOKUP(BO5,'Databaze rizik'!$K$2:$Z$6,5,FALSE)/100+1</f>
        <v>1</v>
      </c>
      <c r="BP58" s="375">
        <f>VLOOKUP(BP5,'Databaze rizik'!$K$21:$Z$25,5,FALSE)/100+1</f>
        <v>1</v>
      </c>
      <c r="BQ58" s="375">
        <f>VLOOKUP(BQ5,'Databaze rizik'!$K$41:$Z$45,5,FALSE)/100+1</f>
        <v>1</v>
      </c>
      <c r="BR58" s="375">
        <f>VLOOKUP(BR5,'Databaze rizik'!$K$61:$Z$66,5,FALSE)/100+1</f>
        <v>1.02</v>
      </c>
      <c r="BS58" s="375">
        <f>VLOOKUP(BS5,'Databaze rizik'!$K$81:$Z$85,5,FALSE)/100+1</f>
        <v>1.04</v>
      </c>
      <c r="BT58" s="375">
        <f>VLOOKUP(BT5,'Databaze rizik'!$K$101:$Z$105,5,FALSE)/100+1</f>
        <v>1</v>
      </c>
      <c r="BU58" s="372">
        <f t="shared" ref="BU58" si="67">BO58*BP58*BQ58*BR58*BS58*BT58</f>
        <v>1.0608</v>
      </c>
      <c r="BV58" s="194">
        <f t="shared" ref="BV58:BV64" si="68">BN58*BU$58</f>
        <v>0</v>
      </c>
      <c r="BX58" s="41"/>
      <c r="BY58" s="46"/>
      <c r="BZ58" s="46"/>
      <c r="CA58" s="46"/>
      <c r="CB58" s="47"/>
      <c r="CC58" s="192">
        <f>SUM(BX58:CB58)</f>
        <v>0</v>
      </c>
      <c r="CD58" s="193">
        <v>1</v>
      </c>
      <c r="CE58" s="194">
        <f>$F58*CC58*CD58</f>
        <v>0</v>
      </c>
      <c r="CF58" s="378">
        <f>VLOOKUP(CF5,'Databaze rizik'!$K$2:$Z$6,5,FALSE)/100+1</f>
        <v>1</v>
      </c>
      <c r="CG58" s="375">
        <f>VLOOKUP(CG5,'Databaze rizik'!$K$21:$Z$25,5,FALSE)/100+1</f>
        <v>1</v>
      </c>
      <c r="CH58" s="375">
        <f>VLOOKUP(CH5,'Databaze rizik'!$K$41:$Z$45,5,FALSE)/100+1</f>
        <v>1</v>
      </c>
      <c r="CI58" s="375">
        <f>VLOOKUP(CI5,'Databaze rizik'!$K$61:$Z$66,5,FALSE)/100+1</f>
        <v>1.02</v>
      </c>
      <c r="CJ58" s="375">
        <f>VLOOKUP(CJ5,'Databaze rizik'!$K$81:$Z$85,5,FALSE)/100+1</f>
        <v>1.04</v>
      </c>
      <c r="CK58" s="375">
        <f>VLOOKUP(CK5,'Databaze rizik'!$K$101:$Z$105,5,FALSE)/100+1</f>
        <v>1</v>
      </c>
      <c r="CL58" s="372">
        <f t="shared" ref="CL58" si="69">CF58*CG58*CH58*CI58*CJ58*CK58</f>
        <v>1.0608</v>
      </c>
      <c r="CM58" s="194">
        <f t="shared" ref="CM58:CM64" si="70">CE58*CL$58</f>
        <v>0</v>
      </c>
      <c r="CN58" s="39"/>
      <c r="CO58" s="55"/>
      <c r="CP58" s="143">
        <f t="shared" ref="CP58:CP64" si="71">SUMIF(H$1:CM$1,1,H58:CM58)</f>
        <v>9.2728835150952005</v>
      </c>
      <c r="CQ58" s="3"/>
      <c r="CR58" s="143">
        <f t="shared" ref="CR58:CR64" si="72">SUMIF(H$1:CM$1,2,H58:CM58)</f>
        <v>12.004677965964971</v>
      </c>
      <c r="CT58" s="143">
        <f t="shared" si="17"/>
        <v>9000</v>
      </c>
    </row>
    <row r="59" spans="1:98" ht="15" customHeight="1" x14ac:dyDescent="0.2">
      <c r="A59" s="382"/>
      <c r="B59" s="413"/>
      <c r="C59" s="196" t="s">
        <v>179</v>
      </c>
      <c r="D59" s="197" t="s">
        <v>467</v>
      </c>
      <c r="E59" s="196" t="s">
        <v>3</v>
      </c>
      <c r="F59" s="301">
        <f>F1*(1.9*(1.014*1.012*1.015)*1.1/1.17)*1.028</f>
        <v>1.9576087420756534</v>
      </c>
      <c r="H59" s="41"/>
      <c r="I59" s="46"/>
      <c r="J59" s="46"/>
      <c r="K59" s="46"/>
      <c r="L59" s="47"/>
      <c r="M59" s="114">
        <f>SUM(H59:L59)</f>
        <v>0</v>
      </c>
      <c r="N59" s="198">
        <v>1</v>
      </c>
      <c r="O59" s="199">
        <f>$F59*M59*N59</f>
        <v>0</v>
      </c>
      <c r="P59" s="379"/>
      <c r="Q59" s="376"/>
      <c r="R59" s="376"/>
      <c r="S59" s="376"/>
      <c r="T59" s="376"/>
      <c r="U59" s="376"/>
      <c r="V59" s="373"/>
      <c r="W59" s="199">
        <f t="shared" si="62"/>
        <v>0</v>
      </c>
      <c r="Y59" s="41">
        <v>8</v>
      </c>
      <c r="Z59" s="46"/>
      <c r="AA59" s="46"/>
      <c r="AB59" s="46"/>
      <c r="AC59" s="47"/>
      <c r="AD59" s="114">
        <f>SUM(Y59:AC59)</f>
        <v>8</v>
      </c>
      <c r="AE59" s="198">
        <v>1</v>
      </c>
      <c r="AF59" s="199">
        <f>$F59*AD59*AE59</f>
        <v>15.660869936605227</v>
      </c>
      <c r="AG59" s="379"/>
      <c r="AH59" s="376"/>
      <c r="AI59" s="376"/>
      <c r="AJ59" s="376"/>
      <c r="AK59" s="376"/>
      <c r="AL59" s="376"/>
      <c r="AM59" s="373"/>
      <c r="AN59" s="199">
        <f t="shared" si="64"/>
        <v>20.274567231407506</v>
      </c>
      <c r="AP59" s="41"/>
      <c r="AQ59" s="46"/>
      <c r="AR59" s="46"/>
      <c r="AS59" s="46"/>
      <c r="AT59" s="47"/>
      <c r="AU59" s="114">
        <f>SUM(AP59:AT59)</f>
        <v>0</v>
      </c>
      <c r="AV59" s="198">
        <v>1</v>
      </c>
      <c r="AW59" s="199">
        <f>$F59*AU59*AV59</f>
        <v>0</v>
      </c>
      <c r="AX59" s="379"/>
      <c r="AY59" s="376"/>
      <c r="AZ59" s="376"/>
      <c r="BA59" s="376"/>
      <c r="BB59" s="376"/>
      <c r="BC59" s="376"/>
      <c r="BD59" s="373"/>
      <c r="BE59" s="199">
        <f t="shared" si="66"/>
        <v>0</v>
      </c>
      <c r="BG59" s="41"/>
      <c r="BH59" s="46"/>
      <c r="BI59" s="46"/>
      <c r="BJ59" s="46"/>
      <c r="BK59" s="47"/>
      <c r="BL59" s="114">
        <f>SUM(BG59:BK59)</f>
        <v>0</v>
      </c>
      <c r="BM59" s="198">
        <v>1</v>
      </c>
      <c r="BN59" s="199">
        <f>$F59*BL59*BM59</f>
        <v>0</v>
      </c>
      <c r="BO59" s="379"/>
      <c r="BP59" s="376"/>
      <c r="BQ59" s="376"/>
      <c r="BR59" s="376"/>
      <c r="BS59" s="376"/>
      <c r="BT59" s="376"/>
      <c r="BU59" s="373"/>
      <c r="BV59" s="199">
        <f t="shared" si="68"/>
        <v>0</v>
      </c>
      <c r="BX59" s="41"/>
      <c r="BY59" s="46"/>
      <c r="BZ59" s="46"/>
      <c r="CA59" s="46"/>
      <c r="CB59" s="47"/>
      <c r="CC59" s="114">
        <f>SUM(BX59:CB59)</f>
        <v>0</v>
      </c>
      <c r="CD59" s="198">
        <v>1</v>
      </c>
      <c r="CE59" s="199">
        <f>$F59*CC59*CD59</f>
        <v>0</v>
      </c>
      <c r="CF59" s="379"/>
      <c r="CG59" s="376"/>
      <c r="CH59" s="376"/>
      <c r="CI59" s="376"/>
      <c r="CJ59" s="376"/>
      <c r="CK59" s="376"/>
      <c r="CL59" s="373"/>
      <c r="CM59" s="199">
        <f t="shared" si="70"/>
        <v>0</v>
      </c>
      <c r="CN59" s="39"/>
      <c r="CO59" s="55"/>
      <c r="CP59" s="137">
        <f t="shared" si="71"/>
        <v>15.660869936605227</v>
      </c>
      <c r="CQ59" s="3"/>
      <c r="CR59" s="137">
        <f t="shared" si="72"/>
        <v>20.274567231407506</v>
      </c>
      <c r="CT59" s="137">
        <f t="shared" si="17"/>
        <v>8</v>
      </c>
    </row>
    <row r="60" spans="1:98" ht="15" customHeight="1" x14ac:dyDescent="0.2">
      <c r="A60" s="382"/>
      <c r="B60" s="414"/>
      <c r="C60" s="232" t="s">
        <v>180</v>
      </c>
      <c r="D60" s="233" t="s">
        <v>468</v>
      </c>
      <c r="E60" s="232" t="s">
        <v>3</v>
      </c>
      <c r="F60" s="303">
        <f>F1*(1.5*(1.014*1.012*1.015)*1.1/1.17)*1.028</f>
        <v>1.5454805858491998</v>
      </c>
      <c r="H60" s="43"/>
      <c r="I60" s="24"/>
      <c r="J60" s="24"/>
      <c r="K60" s="24"/>
      <c r="L60" s="25"/>
      <c r="M60" s="114">
        <f>SUM(H60:L60)</f>
        <v>0</v>
      </c>
      <c r="N60" s="198">
        <v>1</v>
      </c>
      <c r="O60" s="199">
        <f>$F60*M60*N60</f>
        <v>0</v>
      </c>
      <c r="P60" s="379"/>
      <c r="Q60" s="376"/>
      <c r="R60" s="376"/>
      <c r="S60" s="376"/>
      <c r="T60" s="376"/>
      <c r="U60" s="376"/>
      <c r="V60" s="373"/>
      <c r="W60" s="199">
        <f t="shared" si="62"/>
        <v>0</v>
      </c>
      <c r="Y60" s="43">
        <v>7</v>
      </c>
      <c r="Z60" s="24"/>
      <c r="AA60" s="24"/>
      <c r="AB60" s="24"/>
      <c r="AC60" s="25"/>
      <c r="AD60" s="114">
        <f>SUM(Y60:AC60)</f>
        <v>7</v>
      </c>
      <c r="AE60" s="198">
        <v>1</v>
      </c>
      <c r="AF60" s="199">
        <f>$F60*AD60*AE60</f>
        <v>10.818364100944398</v>
      </c>
      <c r="AG60" s="379"/>
      <c r="AH60" s="376"/>
      <c r="AI60" s="376"/>
      <c r="AJ60" s="376"/>
      <c r="AK60" s="376"/>
      <c r="AL60" s="376"/>
      <c r="AM60" s="373"/>
      <c r="AN60" s="199">
        <f t="shared" si="64"/>
        <v>14.005457626959132</v>
      </c>
      <c r="AP60" s="43"/>
      <c r="AQ60" s="24"/>
      <c r="AR60" s="24"/>
      <c r="AS60" s="24"/>
      <c r="AT60" s="25"/>
      <c r="AU60" s="114">
        <f>SUM(AP60:AT60)</f>
        <v>0</v>
      </c>
      <c r="AV60" s="198">
        <v>1</v>
      </c>
      <c r="AW60" s="199">
        <f>$F60*AU60*AV60</f>
        <v>0</v>
      </c>
      <c r="AX60" s="379"/>
      <c r="AY60" s="376"/>
      <c r="AZ60" s="376"/>
      <c r="BA60" s="376"/>
      <c r="BB60" s="376"/>
      <c r="BC60" s="376"/>
      <c r="BD60" s="373"/>
      <c r="BE60" s="199">
        <f t="shared" si="66"/>
        <v>0</v>
      </c>
      <c r="BG60" s="43"/>
      <c r="BH60" s="24"/>
      <c r="BI60" s="24"/>
      <c r="BJ60" s="24"/>
      <c r="BK60" s="25"/>
      <c r="BL60" s="114">
        <f>SUM(BG60:BK60)</f>
        <v>0</v>
      </c>
      <c r="BM60" s="198">
        <v>1</v>
      </c>
      <c r="BN60" s="199">
        <f>$F60*BL60*BM60</f>
        <v>0</v>
      </c>
      <c r="BO60" s="379"/>
      <c r="BP60" s="376"/>
      <c r="BQ60" s="376"/>
      <c r="BR60" s="376"/>
      <c r="BS60" s="376"/>
      <c r="BT60" s="376"/>
      <c r="BU60" s="373"/>
      <c r="BV60" s="199">
        <f t="shared" si="68"/>
        <v>0</v>
      </c>
      <c r="BX60" s="43"/>
      <c r="BY60" s="24"/>
      <c r="BZ60" s="24"/>
      <c r="CA60" s="24"/>
      <c r="CB60" s="25"/>
      <c r="CC60" s="114">
        <f>SUM(BX60:CB60)</f>
        <v>0</v>
      </c>
      <c r="CD60" s="198">
        <v>1</v>
      </c>
      <c r="CE60" s="199">
        <f>$F60*CC60*CD60</f>
        <v>0</v>
      </c>
      <c r="CF60" s="379"/>
      <c r="CG60" s="376"/>
      <c r="CH60" s="376"/>
      <c r="CI60" s="376"/>
      <c r="CJ60" s="376"/>
      <c r="CK60" s="376"/>
      <c r="CL60" s="373"/>
      <c r="CM60" s="199">
        <f t="shared" si="70"/>
        <v>0</v>
      </c>
      <c r="CN60" s="39"/>
      <c r="CO60" s="55"/>
      <c r="CP60" s="137">
        <f t="shared" si="71"/>
        <v>10.818364100944398</v>
      </c>
      <c r="CQ60" s="3"/>
      <c r="CR60" s="137">
        <f t="shared" si="72"/>
        <v>14.005457626959132</v>
      </c>
      <c r="CT60" s="137">
        <f t="shared" si="17"/>
        <v>7</v>
      </c>
    </row>
    <row r="61" spans="1:98" ht="15" customHeight="1" x14ac:dyDescent="0.2">
      <c r="A61" s="382"/>
      <c r="B61" s="433" t="s">
        <v>41</v>
      </c>
      <c r="C61" s="196" t="s">
        <v>181</v>
      </c>
      <c r="D61" s="201" t="s">
        <v>357</v>
      </c>
      <c r="E61" s="202"/>
      <c r="F61" s="322"/>
      <c r="H61" s="43"/>
      <c r="I61" s="24"/>
      <c r="J61" s="24"/>
      <c r="K61" s="24"/>
      <c r="L61" s="25"/>
      <c r="M61" s="114">
        <f>SUM(H61:L61)</f>
        <v>0</v>
      </c>
      <c r="N61" s="198">
        <v>1</v>
      </c>
      <c r="O61" s="199">
        <f>$F61*M61*N61</f>
        <v>0</v>
      </c>
      <c r="P61" s="379"/>
      <c r="Q61" s="376"/>
      <c r="R61" s="376"/>
      <c r="S61" s="376"/>
      <c r="T61" s="376"/>
      <c r="U61" s="376"/>
      <c r="V61" s="373"/>
      <c r="W61" s="199">
        <f t="shared" si="62"/>
        <v>0</v>
      </c>
      <c r="Y61" s="43"/>
      <c r="Z61" s="24"/>
      <c r="AA61" s="24"/>
      <c r="AB61" s="24"/>
      <c r="AC61" s="25"/>
      <c r="AD61" s="114">
        <f>SUM(Y61:AC61)</f>
        <v>0</v>
      </c>
      <c r="AE61" s="198">
        <v>1</v>
      </c>
      <c r="AF61" s="199">
        <f>$F61*AD61*AE61</f>
        <v>0</v>
      </c>
      <c r="AG61" s="379"/>
      <c r="AH61" s="376"/>
      <c r="AI61" s="376"/>
      <c r="AJ61" s="376"/>
      <c r="AK61" s="376"/>
      <c r="AL61" s="376"/>
      <c r="AM61" s="373"/>
      <c r="AN61" s="199">
        <f t="shared" si="64"/>
        <v>0</v>
      </c>
      <c r="AP61" s="43"/>
      <c r="AQ61" s="24"/>
      <c r="AR61" s="24"/>
      <c r="AS61" s="24"/>
      <c r="AT61" s="25"/>
      <c r="AU61" s="114">
        <f>SUM(AP61:AT61)</f>
        <v>0</v>
      </c>
      <c r="AV61" s="198">
        <v>1</v>
      </c>
      <c r="AW61" s="199">
        <f>$F61*AU61*AV61</f>
        <v>0</v>
      </c>
      <c r="AX61" s="379"/>
      <c r="AY61" s="376"/>
      <c r="AZ61" s="376"/>
      <c r="BA61" s="376"/>
      <c r="BB61" s="376"/>
      <c r="BC61" s="376"/>
      <c r="BD61" s="373"/>
      <c r="BE61" s="199">
        <f t="shared" si="66"/>
        <v>0</v>
      </c>
      <c r="BG61" s="43"/>
      <c r="BH61" s="24"/>
      <c r="BI61" s="24"/>
      <c r="BJ61" s="24"/>
      <c r="BK61" s="25"/>
      <c r="BL61" s="114">
        <f>SUM(BG61:BK61)</f>
        <v>0</v>
      </c>
      <c r="BM61" s="198">
        <v>1</v>
      </c>
      <c r="BN61" s="199">
        <f>$F61*BL61*BM61</f>
        <v>0</v>
      </c>
      <c r="BO61" s="379"/>
      <c r="BP61" s="376"/>
      <c r="BQ61" s="376"/>
      <c r="BR61" s="376"/>
      <c r="BS61" s="376"/>
      <c r="BT61" s="376"/>
      <c r="BU61" s="373"/>
      <c r="BV61" s="199">
        <f t="shared" si="68"/>
        <v>0</v>
      </c>
      <c r="BX61" s="43"/>
      <c r="BY61" s="24"/>
      <c r="BZ61" s="24"/>
      <c r="CA61" s="24"/>
      <c r="CB61" s="25"/>
      <c r="CC61" s="114">
        <f>SUM(BX61:CB61)</f>
        <v>0</v>
      </c>
      <c r="CD61" s="198">
        <v>1</v>
      </c>
      <c r="CE61" s="199">
        <f>$F61*CC61*CD61</f>
        <v>0</v>
      </c>
      <c r="CF61" s="379"/>
      <c r="CG61" s="376"/>
      <c r="CH61" s="376"/>
      <c r="CI61" s="376"/>
      <c r="CJ61" s="376"/>
      <c r="CK61" s="376"/>
      <c r="CL61" s="373"/>
      <c r="CM61" s="199">
        <f t="shared" si="70"/>
        <v>0</v>
      </c>
      <c r="CN61" s="39"/>
      <c r="CO61" s="55"/>
      <c r="CP61" s="137">
        <f t="shared" si="71"/>
        <v>0</v>
      </c>
      <c r="CQ61" s="3"/>
      <c r="CR61" s="137">
        <f t="shared" si="72"/>
        <v>0</v>
      </c>
      <c r="CT61" s="137">
        <f t="shared" si="17"/>
        <v>0</v>
      </c>
    </row>
    <row r="62" spans="1:98" ht="15" customHeight="1" x14ac:dyDescent="0.2">
      <c r="A62" s="382"/>
      <c r="B62" s="434"/>
      <c r="C62" s="196" t="s">
        <v>182</v>
      </c>
      <c r="D62" s="201" t="s">
        <v>357</v>
      </c>
      <c r="E62" s="202"/>
      <c r="F62" s="322"/>
      <c r="H62" s="43"/>
      <c r="I62" s="24"/>
      <c r="J62" s="24"/>
      <c r="K62" s="24"/>
      <c r="L62" s="25"/>
      <c r="M62" s="114">
        <f>SUM(H62:L62)</f>
        <v>0</v>
      </c>
      <c r="N62" s="198">
        <v>1</v>
      </c>
      <c r="O62" s="199">
        <f>$F62*M62*N62</f>
        <v>0</v>
      </c>
      <c r="P62" s="379"/>
      <c r="Q62" s="376"/>
      <c r="R62" s="376"/>
      <c r="S62" s="376"/>
      <c r="T62" s="376"/>
      <c r="U62" s="376"/>
      <c r="V62" s="373"/>
      <c r="W62" s="199">
        <f t="shared" si="62"/>
        <v>0</v>
      </c>
      <c r="Y62" s="43"/>
      <c r="Z62" s="24"/>
      <c r="AA62" s="24"/>
      <c r="AB62" s="24"/>
      <c r="AC62" s="25"/>
      <c r="AD62" s="114">
        <f>SUM(Y62:AC62)</f>
        <v>0</v>
      </c>
      <c r="AE62" s="198">
        <v>1</v>
      </c>
      <c r="AF62" s="199">
        <f>$F62*AD62*AE62</f>
        <v>0</v>
      </c>
      <c r="AG62" s="379"/>
      <c r="AH62" s="376"/>
      <c r="AI62" s="376"/>
      <c r="AJ62" s="376"/>
      <c r="AK62" s="376"/>
      <c r="AL62" s="376"/>
      <c r="AM62" s="373"/>
      <c r="AN62" s="199">
        <f t="shared" si="64"/>
        <v>0</v>
      </c>
      <c r="AP62" s="43"/>
      <c r="AQ62" s="24"/>
      <c r="AR62" s="24"/>
      <c r="AS62" s="24"/>
      <c r="AT62" s="25"/>
      <c r="AU62" s="114">
        <f>SUM(AP62:AT62)</f>
        <v>0</v>
      </c>
      <c r="AV62" s="198">
        <v>1</v>
      </c>
      <c r="AW62" s="199">
        <f>$F62*AU62*AV62</f>
        <v>0</v>
      </c>
      <c r="AX62" s="379"/>
      <c r="AY62" s="376"/>
      <c r="AZ62" s="376"/>
      <c r="BA62" s="376"/>
      <c r="BB62" s="376"/>
      <c r="BC62" s="376"/>
      <c r="BD62" s="373"/>
      <c r="BE62" s="199">
        <f t="shared" si="66"/>
        <v>0</v>
      </c>
      <c r="BG62" s="43"/>
      <c r="BH62" s="24"/>
      <c r="BI62" s="24"/>
      <c r="BJ62" s="24"/>
      <c r="BK62" s="25"/>
      <c r="BL62" s="114">
        <f>SUM(BG62:BK62)</f>
        <v>0</v>
      </c>
      <c r="BM62" s="198">
        <v>1</v>
      </c>
      <c r="BN62" s="199">
        <f>$F62*BL62*BM62</f>
        <v>0</v>
      </c>
      <c r="BO62" s="379"/>
      <c r="BP62" s="376"/>
      <c r="BQ62" s="376"/>
      <c r="BR62" s="376"/>
      <c r="BS62" s="376"/>
      <c r="BT62" s="376"/>
      <c r="BU62" s="373"/>
      <c r="BV62" s="199">
        <f t="shared" si="68"/>
        <v>0</v>
      </c>
      <c r="BX62" s="43"/>
      <c r="BY62" s="24"/>
      <c r="BZ62" s="24"/>
      <c r="CA62" s="24"/>
      <c r="CB62" s="25"/>
      <c r="CC62" s="114">
        <f>SUM(BX62:CB62)</f>
        <v>0</v>
      </c>
      <c r="CD62" s="198">
        <v>1</v>
      </c>
      <c r="CE62" s="199">
        <f>$F62*CC62*CD62</f>
        <v>0</v>
      </c>
      <c r="CF62" s="379"/>
      <c r="CG62" s="376"/>
      <c r="CH62" s="376"/>
      <c r="CI62" s="376"/>
      <c r="CJ62" s="376"/>
      <c r="CK62" s="376"/>
      <c r="CL62" s="373"/>
      <c r="CM62" s="199">
        <f t="shared" si="70"/>
        <v>0</v>
      </c>
      <c r="CN62" s="39"/>
      <c r="CO62" s="55"/>
      <c r="CP62" s="137">
        <f t="shared" si="71"/>
        <v>0</v>
      </c>
      <c r="CQ62" s="3"/>
      <c r="CR62" s="137">
        <f t="shared" si="72"/>
        <v>0</v>
      </c>
      <c r="CT62" s="137">
        <f t="shared" si="17"/>
        <v>0</v>
      </c>
    </row>
    <row r="63" spans="1:98" ht="15" customHeight="1" x14ac:dyDescent="0.2">
      <c r="A63" s="382"/>
      <c r="B63" s="434"/>
      <c r="C63" s="196" t="s">
        <v>183</v>
      </c>
      <c r="D63" s="204" t="s">
        <v>215</v>
      </c>
      <c r="E63" s="205" t="s">
        <v>10</v>
      </c>
      <c r="F63" s="323"/>
      <c r="H63" s="43"/>
      <c r="I63" s="24"/>
      <c r="J63" s="24"/>
      <c r="K63" s="24"/>
      <c r="L63" s="25"/>
      <c r="M63" s="114"/>
      <c r="N63" s="207"/>
      <c r="O63" s="199">
        <f>SUM(H63:L63)</f>
        <v>0</v>
      </c>
      <c r="P63" s="379"/>
      <c r="Q63" s="376"/>
      <c r="R63" s="376"/>
      <c r="S63" s="376"/>
      <c r="T63" s="376"/>
      <c r="U63" s="376"/>
      <c r="V63" s="373"/>
      <c r="W63" s="199">
        <f t="shared" si="62"/>
        <v>0</v>
      </c>
      <c r="Y63" s="43"/>
      <c r="Z63" s="24"/>
      <c r="AA63" s="24"/>
      <c r="AB63" s="24"/>
      <c r="AC63" s="25"/>
      <c r="AD63" s="114"/>
      <c r="AE63" s="207"/>
      <c r="AF63" s="199">
        <f>SUM(Y63:AC63)</f>
        <v>0</v>
      </c>
      <c r="AG63" s="379"/>
      <c r="AH63" s="376"/>
      <c r="AI63" s="376"/>
      <c r="AJ63" s="376"/>
      <c r="AK63" s="376"/>
      <c r="AL63" s="376"/>
      <c r="AM63" s="373"/>
      <c r="AN63" s="199">
        <f t="shared" si="64"/>
        <v>0</v>
      </c>
      <c r="AP63" s="43"/>
      <c r="AQ63" s="24"/>
      <c r="AR63" s="24"/>
      <c r="AS63" s="24"/>
      <c r="AT63" s="25"/>
      <c r="AU63" s="114"/>
      <c r="AV63" s="207"/>
      <c r="AW63" s="199">
        <f>SUM(AP63:AT63)</f>
        <v>0</v>
      </c>
      <c r="AX63" s="379"/>
      <c r="AY63" s="376"/>
      <c r="AZ63" s="376"/>
      <c r="BA63" s="376"/>
      <c r="BB63" s="376"/>
      <c r="BC63" s="376"/>
      <c r="BD63" s="373"/>
      <c r="BE63" s="199">
        <f t="shared" si="66"/>
        <v>0</v>
      </c>
      <c r="BG63" s="43"/>
      <c r="BH63" s="24"/>
      <c r="BI63" s="24"/>
      <c r="BJ63" s="24"/>
      <c r="BK63" s="25"/>
      <c r="BL63" s="114"/>
      <c r="BM63" s="207"/>
      <c r="BN63" s="199">
        <f>SUM(BG63:BK63)</f>
        <v>0</v>
      </c>
      <c r="BO63" s="379"/>
      <c r="BP63" s="376"/>
      <c r="BQ63" s="376"/>
      <c r="BR63" s="376"/>
      <c r="BS63" s="376"/>
      <c r="BT63" s="376"/>
      <c r="BU63" s="373"/>
      <c r="BV63" s="199">
        <f t="shared" si="68"/>
        <v>0</v>
      </c>
      <c r="BX63" s="43"/>
      <c r="BY63" s="24"/>
      <c r="BZ63" s="24"/>
      <c r="CA63" s="24"/>
      <c r="CB63" s="25"/>
      <c r="CC63" s="114"/>
      <c r="CD63" s="207"/>
      <c r="CE63" s="199">
        <f>SUM(BX63:CB63)</f>
        <v>0</v>
      </c>
      <c r="CF63" s="379"/>
      <c r="CG63" s="376"/>
      <c r="CH63" s="376"/>
      <c r="CI63" s="376"/>
      <c r="CJ63" s="376"/>
      <c r="CK63" s="376"/>
      <c r="CL63" s="373"/>
      <c r="CM63" s="199">
        <f t="shared" si="70"/>
        <v>0</v>
      </c>
      <c r="CN63" s="39"/>
      <c r="CO63" s="55"/>
      <c r="CP63" s="137">
        <f t="shared" si="71"/>
        <v>0</v>
      </c>
      <c r="CQ63" s="3"/>
      <c r="CR63" s="137">
        <f t="shared" si="72"/>
        <v>0</v>
      </c>
      <c r="CT63" s="137">
        <f t="shared" si="17"/>
        <v>0</v>
      </c>
    </row>
    <row r="64" spans="1:98" ht="15" customHeight="1" x14ac:dyDescent="0.2">
      <c r="A64" s="382"/>
      <c r="B64" s="434"/>
      <c r="C64" s="200" t="s">
        <v>184</v>
      </c>
      <c r="D64" s="208" t="s">
        <v>215</v>
      </c>
      <c r="E64" s="205" t="s">
        <v>10</v>
      </c>
      <c r="F64" s="323"/>
      <c r="H64" s="43"/>
      <c r="I64" s="24"/>
      <c r="J64" s="24"/>
      <c r="K64" s="24"/>
      <c r="L64" s="25"/>
      <c r="M64" s="114"/>
      <c r="N64" s="207"/>
      <c r="O64" s="199">
        <f>SUM(H64:L64)</f>
        <v>0</v>
      </c>
      <c r="P64" s="380"/>
      <c r="Q64" s="377"/>
      <c r="R64" s="377"/>
      <c r="S64" s="377"/>
      <c r="T64" s="377"/>
      <c r="U64" s="377"/>
      <c r="V64" s="374"/>
      <c r="W64" s="199">
        <f t="shared" si="62"/>
        <v>0</v>
      </c>
      <c r="Y64" s="43"/>
      <c r="Z64" s="24"/>
      <c r="AA64" s="24"/>
      <c r="AB64" s="24"/>
      <c r="AC64" s="25"/>
      <c r="AD64" s="114"/>
      <c r="AE64" s="207"/>
      <c r="AF64" s="199">
        <f>SUM(Y64:AC64)</f>
        <v>0</v>
      </c>
      <c r="AG64" s="380"/>
      <c r="AH64" s="377"/>
      <c r="AI64" s="377"/>
      <c r="AJ64" s="377"/>
      <c r="AK64" s="377"/>
      <c r="AL64" s="377"/>
      <c r="AM64" s="374"/>
      <c r="AN64" s="199">
        <f t="shared" si="64"/>
        <v>0</v>
      </c>
      <c r="AP64" s="43"/>
      <c r="AQ64" s="24"/>
      <c r="AR64" s="24"/>
      <c r="AS64" s="24"/>
      <c r="AT64" s="25"/>
      <c r="AU64" s="114"/>
      <c r="AV64" s="207"/>
      <c r="AW64" s="199">
        <f>SUM(AP64:AT64)</f>
        <v>0</v>
      </c>
      <c r="AX64" s="380"/>
      <c r="AY64" s="377"/>
      <c r="AZ64" s="377"/>
      <c r="BA64" s="377"/>
      <c r="BB64" s="377"/>
      <c r="BC64" s="377"/>
      <c r="BD64" s="374"/>
      <c r="BE64" s="199">
        <f t="shared" si="66"/>
        <v>0</v>
      </c>
      <c r="BG64" s="43"/>
      <c r="BH64" s="24"/>
      <c r="BI64" s="24"/>
      <c r="BJ64" s="24"/>
      <c r="BK64" s="25"/>
      <c r="BL64" s="114"/>
      <c r="BM64" s="207"/>
      <c r="BN64" s="199">
        <f>SUM(BG64:BK64)</f>
        <v>0</v>
      </c>
      <c r="BO64" s="380"/>
      <c r="BP64" s="377"/>
      <c r="BQ64" s="377"/>
      <c r="BR64" s="377"/>
      <c r="BS64" s="377"/>
      <c r="BT64" s="377"/>
      <c r="BU64" s="374"/>
      <c r="BV64" s="199">
        <f t="shared" si="68"/>
        <v>0</v>
      </c>
      <c r="BX64" s="43"/>
      <c r="BY64" s="24"/>
      <c r="BZ64" s="24"/>
      <c r="CA64" s="24"/>
      <c r="CB64" s="25"/>
      <c r="CC64" s="114"/>
      <c r="CD64" s="207"/>
      <c r="CE64" s="199">
        <f>SUM(BX64:CB64)</f>
        <v>0</v>
      </c>
      <c r="CF64" s="380"/>
      <c r="CG64" s="377"/>
      <c r="CH64" s="377"/>
      <c r="CI64" s="377"/>
      <c r="CJ64" s="377"/>
      <c r="CK64" s="377"/>
      <c r="CL64" s="374"/>
      <c r="CM64" s="199">
        <f t="shared" si="70"/>
        <v>0</v>
      </c>
      <c r="CN64" s="39"/>
      <c r="CO64" s="3"/>
      <c r="CP64" s="137">
        <f t="shared" si="71"/>
        <v>0</v>
      </c>
      <c r="CQ64" s="3"/>
      <c r="CR64" s="137">
        <f t="shared" si="72"/>
        <v>0</v>
      </c>
      <c r="CT64" s="137">
        <f t="shared" si="17"/>
        <v>0</v>
      </c>
    </row>
    <row r="65" spans="1:98" ht="15" customHeight="1" thickBot="1" x14ac:dyDescent="0.25">
      <c r="A65" s="383"/>
      <c r="B65" s="223"/>
      <c r="C65" s="224"/>
      <c r="D65" s="225" t="s">
        <v>22</v>
      </c>
      <c r="E65" s="224"/>
      <c r="F65" s="325"/>
      <c r="H65" s="141"/>
      <c r="I65" s="142"/>
      <c r="J65" s="142"/>
      <c r="K65" s="142"/>
      <c r="L65" s="142"/>
      <c r="M65" s="227"/>
      <c r="N65" s="228"/>
      <c r="O65" s="229">
        <f>SUM(O58:O64)</f>
        <v>0</v>
      </c>
      <c r="P65" s="230"/>
      <c r="Q65" s="230"/>
      <c r="R65" s="230"/>
      <c r="S65" s="230"/>
      <c r="T65" s="230"/>
      <c r="U65" s="230"/>
      <c r="V65" s="228"/>
      <c r="W65" s="229">
        <f>SUM(W58:W64)</f>
        <v>0</v>
      </c>
      <c r="Y65" s="141"/>
      <c r="Z65" s="142"/>
      <c r="AA65" s="142"/>
      <c r="AB65" s="142"/>
      <c r="AC65" s="142"/>
      <c r="AD65" s="227"/>
      <c r="AE65" s="228"/>
      <c r="AF65" s="229">
        <f>SUM(AF58:AF64)</f>
        <v>35.752117552644826</v>
      </c>
      <c r="AG65" s="230"/>
      <c r="AH65" s="230"/>
      <c r="AI65" s="230"/>
      <c r="AJ65" s="230"/>
      <c r="AK65" s="230"/>
      <c r="AL65" s="230"/>
      <c r="AM65" s="228"/>
      <c r="AN65" s="229">
        <f>SUM(AN58:AN64)</f>
        <v>46.284702824331603</v>
      </c>
      <c r="AP65" s="141"/>
      <c r="AQ65" s="142"/>
      <c r="AR65" s="142"/>
      <c r="AS65" s="142"/>
      <c r="AT65" s="142"/>
      <c r="AU65" s="227"/>
      <c r="AV65" s="228"/>
      <c r="AW65" s="229">
        <f>SUM(AW58:AW64)</f>
        <v>0</v>
      </c>
      <c r="AX65" s="230"/>
      <c r="AY65" s="230"/>
      <c r="AZ65" s="230"/>
      <c r="BA65" s="230"/>
      <c r="BB65" s="230"/>
      <c r="BC65" s="230"/>
      <c r="BD65" s="228"/>
      <c r="BE65" s="229">
        <f>SUM(BE58:BE64)</f>
        <v>0</v>
      </c>
      <c r="BG65" s="141"/>
      <c r="BH65" s="142"/>
      <c r="BI65" s="142"/>
      <c r="BJ65" s="142"/>
      <c r="BK65" s="142"/>
      <c r="BL65" s="227"/>
      <c r="BM65" s="228"/>
      <c r="BN65" s="229">
        <f>SUM(BN58:BN64)</f>
        <v>0</v>
      </c>
      <c r="BO65" s="230"/>
      <c r="BP65" s="230"/>
      <c r="BQ65" s="230"/>
      <c r="BR65" s="230"/>
      <c r="BS65" s="230"/>
      <c r="BT65" s="230"/>
      <c r="BU65" s="228"/>
      <c r="BV65" s="229">
        <f>SUM(BV58:BV64)</f>
        <v>0</v>
      </c>
      <c r="BX65" s="141"/>
      <c r="BY65" s="142"/>
      <c r="BZ65" s="142"/>
      <c r="CA65" s="142"/>
      <c r="CB65" s="142"/>
      <c r="CC65" s="227"/>
      <c r="CD65" s="228"/>
      <c r="CE65" s="229">
        <f>SUM(CE58:CE64)</f>
        <v>0</v>
      </c>
      <c r="CF65" s="230"/>
      <c r="CG65" s="230"/>
      <c r="CH65" s="230"/>
      <c r="CI65" s="230"/>
      <c r="CJ65" s="230"/>
      <c r="CK65" s="230"/>
      <c r="CL65" s="228"/>
      <c r="CM65" s="229">
        <f>SUM(CM58:CM64)</f>
        <v>0</v>
      </c>
      <c r="CN65" s="39"/>
      <c r="CO65" s="3"/>
      <c r="CP65" s="217">
        <f>SUM(CP58:CP64)</f>
        <v>35.752117552644826</v>
      </c>
      <c r="CQ65" s="3"/>
      <c r="CR65" s="217">
        <f>SUM(CR58:CR64)</f>
        <v>46.284702824331603</v>
      </c>
      <c r="CT65" s="217"/>
    </row>
    <row r="66" spans="1:98" ht="15" customHeight="1" x14ac:dyDescent="0.2">
      <c r="A66" s="388" t="s">
        <v>40</v>
      </c>
      <c r="B66" s="396" t="s">
        <v>130</v>
      </c>
      <c r="C66" s="234" t="s">
        <v>189</v>
      </c>
      <c r="D66" s="235" t="s">
        <v>537</v>
      </c>
      <c r="E66" s="236" t="s">
        <v>2</v>
      </c>
      <c r="F66" s="304">
        <f>F1*(0.0033*(1.014*1.012*1.015)*1.1/1.11)*1.028</f>
        <v>3.5838441693476042E-3</v>
      </c>
      <c r="H66" s="37"/>
      <c r="I66" s="14"/>
      <c r="J66" s="14"/>
      <c r="K66" s="15"/>
      <c r="L66" s="16"/>
      <c r="M66" s="92">
        <f>SUM(H66:L66)</f>
        <v>0</v>
      </c>
      <c r="N66" s="237">
        <v>1</v>
      </c>
      <c r="O66" s="238">
        <f>M66*$F66*N66</f>
        <v>0</v>
      </c>
      <c r="P66" s="378">
        <f>VLOOKUP(P5,'Databaze rizik'!$K$2:$Z$6,6,FALSE)/100+1</f>
        <v>1.1000000000000001</v>
      </c>
      <c r="Q66" s="375">
        <f>VLOOKUP(Q5,'Databaze rizik'!$K$21:$Z$25,6,FALSE)/100+1</f>
        <v>1.07</v>
      </c>
      <c r="R66" s="375">
        <f>VLOOKUP(R5,'Databaze rizik'!$K$41:$Z$45,6,FALSE)/100+1</f>
        <v>1</v>
      </c>
      <c r="S66" s="375">
        <f>VLOOKUP(S5,'Databaze rizik'!$K$61:$Z$66,6,FALSE)/100+1</f>
        <v>1.02</v>
      </c>
      <c r="T66" s="375">
        <f>VLOOKUP(T5,'Databaze rizik'!$K$81:$Z$85,6,FALSE)/100+1</f>
        <v>1.01</v>
      </c>
      <c r="U66" s="375">
        <f>VLOOKUP(U5,'Databaze rizik'!$K$101:$Z$105,6,FALSE)/100+1</f>
        <v>1</v>
      </c>
      <c r="V66" s="372">
        <f t="shared" ref="V66" si="73">P66*Q66*R66*S66*T66*U66</f>
        <v>1.2125454000000004</v>
      </c>
      <c r="W66" s="238">
        <f t="shared" ref="W66:W98" si="74">O66*V$66</f>
        <v>0</v>
      </c>
      <c r="Y66" s="37">
        <v>13950</v>
      </c>
      <c r="Z66" s="14"/>
      <c r="AA66" s="14"/>
      <c r="AB66" s="15"/>
      <c r="AC66" s="16"/>
      <c r="AD66" s="92">
        <f>SUM(Y66:AC66)</f>
        <v>13950</v>
      </c>
      <c r="AE66" s="237">
        <v>1</v>
      </c>
      <c r="AF66" s="238">
        <f>AD66*$F66*AE66</f>
        <v>49.994626162399079</v>
      </c>
      <c r="AG66" s="378">
        <f>VLOOKUP(AG5,'Databaze rizik'!$K$2:$Z$6,6,FALSE)/100+1</f>
        <v>1.1000000000000001</v>
      </c>
      <c r="AH66" s="375">
        <f>VLOOKUP(AH5,'Databaze rizik'!$K$21:$Z$25,6,FALSE)/100+1</f>
        <v>1.07</v>
      </c>
      <c r="AI66" s="375">
        <f>VLOOKUP(AI5,'Databaze rizik'!$K$41:$Z$45,6,FALSE)/100+1</f>
        <v>1</v>
      </c>
      <c r="AJ66" s="375">
        <f>VLOOKUP(AJ5,'Databaze rizik'!$K$61:$Z$66,6,FALSE)/100+1</f>
        <v>1.02</v>
      </c>
      <c r="AK66" s="375">
        <f>VLOOKUP(AK5,'Databaze rizik'!$K$81:$Z$85,6,FALSE)/100+1</f>
        <v>1.01</v>
      </c>
      <c r="AL66" s="375">
        <f>VLOOKUP(AL5,'Databaze rizik'!$K$101:$Z$105,6,FALSE)/100+1</f>
        <v>1</v>
      </c>
      <c r="AM66" s="372">
        <f t="shared" ref="AM66" si="75">AG66*AH66*AI66*AJ66*AK66*AL66</f>
        <v>1.2125454000000004</v>
      </c>
      <c r="AN66" s="238">
        <f t="shared" ref="AN66:AN98" si="76">AF66*AM$66</f>
        <v>60.62075397793668</v>
      </c>
      <c r="AP66" s="37"/>
      <c r="AQ66" s="14"/>
      <c r="AR66" s="14"/>
      <c r="AS66" s="15"/>
      <c r="AT66" s="16"/>
      <c r="AU66" s="92">
        <f>SUM(AP66:AT66)</f>
        <v>0</v>
      </c>
      <c r="AV66" s="237">
        <v>1</v>
      </c>
      <c r="AW66" s="238">
        <f>AU66*$F66*AV66</f>
        <v>0</v>
      </c>
      <c r="AX66" s="378">
        <f>VLOOKUP(AX5,'Databaze rizik'!$K$2:$Z$6,6,FALSE)/100+1</f>
        <v>1.1000000000000001</v>
      </c>
      <c r="AY66" s="375">
        <f>VLOOKUP(AY5,'Databaze rizik'!$K$21:$Z$25,6,FALSE)/100+1</f>
        <v>1.07</v>
      </c>
      <c r="AZ66" s="375">
        <f>VLOOKUP(AZ5,'Databaze rizik'!$K$41:$Z$45,6,FALSE)/100+1</f>
        <v>1</v>
      </c>
      <c r="BA66" s="375">
        <f>VLOOKUP(BA5,'Databaze rizik'!$K$61:$Z$66,6,FALSE)/100+1</f>
        <v>1.02</v>
      </c>
      <c r="BB66" s="375">
        <f>VLOOKUP(BB5,'Databaze rizik'!$K$81:$Z$85,6,FALSE)/100+1</f>
        <v>1.01</v>
      </c>
      <c r="BC66" s="375">
        <f>VLOOKUP(BC5,'Databaze rizik'!$K$101:$Z$105,6,FALSE)/100+1</f>
        <v>1</v>
      </c>
      <c r="BD66" s="372">
        <f t="shared" ref="BD66" si="77">AX66*AY66*AZ66*BA66*BB66*BC66</f>
        <v>1.2125454000000004</v>
      </c>
      <c r="BE66" s="238">
        <f t="shared" ref="BE66:BE98" si="78">AW66*BD$66</f>
        <v>0</v>
      </c>
      <c r="BG66" s="37"/>
      <c r="BH66" s="14"/>
      <c r="BI66" s="14"/>
      <c r="BJ66" s="15"/>
      <c r="BK66" s="16"/>
      <c r="BL66" s="92">
        <f>SUM(BG66:BK66)</f>
        <v>0</v>
      </c>
      <c r="BM66" s="237">
        <v>1</v>
      </c>
      <c r="BN66" s="238">
        <f>BL66*$F66*BM66</f>
        <v>0</v>
      </c>
      <c r="BO66" s="378">
        <f>VLOOKUP(BO5,'Databaze rizik'!$K$2:$Z$6,6,FALSE)/100+1</f>
        <v>1</v>
      </c>
      <c r="BP66" s="375">
        <f>VLOOKUP(BP5,'Databaze rizik'!$K$21:$Z$25,6,FALSE)/100+1</f>
        <v>1</v>
      </c>
      <c r="BQ66" s="375">
        <f>VLOOKUP(BQ5,'Databaze rizik'!$K$41:$Z$45,6,FALSE)/100+1</f>
        <v>1</v>
      </c>
      <c r="BR66" s="375">
        <f>VLOOKUP(BR5,'Databaze rizik'!$K$61:$Z$66,6,FALSE)/100+1</f>
        <v>1.02</v>
      </c>
      <c r="BS66" s="375">
        <f>VLOOKUP(BS5,'Databaze rizik'!$K$81:$Z$85,6,FALSE)/100+1</f>
        <v>1.01</v>
      </c>
      <c r="BT66" s="375">
        <f>VLOOKUP(BT5,'Databaze rizik'!$K$101:$Z$105,6,FALSE)/100+1</f>
        <v>1</v>
      </c>
      <c r="BU66" s="372">
        <f t="shared" ref="BU66" si="79">BO66*BP66*BQ66*BR66*BS66*BT66</f>
        <v>1.0302</v>
      </c>
      <c r="BV66" s="238">
        <f t="shared" ref="BV66:BV98" si="80">BN66*BU$66</f>
        <v>0</v>
      </c>
      <c r="BX66" s="37"/>
      <c r="BY66" s="14"/>
      <c r="BZ66" s="14"/>
      <c r="CA66" s="15"/>
      <c r="CB66" s="16"/>
      <c r="CC66" s="92">
        <f>SUM(BX66:CB66)</f>
        <v>0</v>
      </c>
      <c r="CD66" s="237">
        <v>1</v>
      </c>
      <c r="CE66" s="238">
        <f>CC66*$F66*CD66</f>
        <v>0</v>
      </c>
      <c r="CF66" s="378">
        <f>VLOOKUP(CF5,'Databaze rizik'!$K$2:$Z$6,6,FALSE)/100+1</f>
        <v>1</v>
      </c>
      <c r="CG66" s="375">
        <f>VLOOKUP(CG5,'Databaze rizik'!$K$21:$Z$25,6,FALSE)/100+1</f>
        <v>1</v>
      </c>
      <c r="CH66" s="375">
        <f>VLOOKUP(CH5,'Databaze rizik'!$K$41:$Z$45,6,FALSE)/100+1</f>
        <v>1</v>
      </c>
      <c r="CI66" s="375">
        <f>VLOOKUP(CI5,'Databaze rizik'!$K$61:$Z$66,6,FALSE)/100+1</f>
        <v>1.02</v>
      </c>
      <c r="CJ66" s="375">
        <f>VLOOKUP(CJ5,'Databaze rizik'!$K$81:$Z$85,6,FALSE)/100+1</f>
        <v>1.01</v>
      </c>
      <c r="CK66" s="375">
        <f>VLOOKUP(CK5,'Databaze rizik'!$K$101:$Z$105,6,FALSE)/100+1</f>
        <v>1</v>
      </c>
      <c r="CL66" s="372">
        <f t="shared" ref="CL66" si="81">CF66*CG66*CH66*CI66*CJ66*CK66</f>
        <v>1.0302</v>
      </c>
      <c r="CM66" s="238">
        <f t="shared" ref="CM66:CM98" si="82">CE66*CL$66</f>
        <v>0</v>
      </c>
      <c r="CN66" s="39"/>
      <c r="CO66" s="3"/>
      <c r="CP66" s="77">
        <f t="shared" ref="CP66:CP98" si="83">SUMIF(H$1:CM$1,1,H66:CM66)</f>
        <v>49.994626162399079</v>
      </c>
      <c r="CQ66" s="3"/>
      <c r="CR66" s="77">
        <f t="shared" ref="CR66:CR98" si="84">SUMIF(H$1:CM$1,2,H66:CM66)</f>
        <v>60.62075397793668</v>
      </c>
      <c r="CT66" s="77">
        <f t="shared" si="17"/>
        <v>13950</v>
      </c>
    </row>
    <row r="67" spans="1:98" ht="15" customHeight="1" x14ac:dyDescent="0.2">
      <c r="A67" s="389"/>
      <c r="B67" s="395"/>
      <c r="C67" s="234" t="s">
        <v>190</v>
      </c>
      <c r="D67" s="235" t="s">
        <v>536</v>
      </c>
      <c r="E67" s="239" t="s">
        <v>2</v>
      </c>
      <c r="F67" s="300">
        <f>F1*(0.0045*(1.014*1.012*1.015)*1.1/1.11)*1.028</f>
        <v>4.8870602309285501E-3</v>
      </c>
      <c r="H67" s="40"/>
      <c r="I67" s="17"/>
      <c r="J67" s="17"/>
      <c r="K67" s="18"/>
      <c r="L67" s="19"/>
      <c r="M67" s="74">
        <f t="shared" ref="M67" si="85">SUM(H67:L67)</f>
        <v>0</v>
      </c>
      <c r="N67" s="240">
        <v>1</v>
      </c>
      <c r="O67" s="241">
        <f t="shared" ref="O67" si="86">M67*$F67*N67</f>
        <v>0</v>
      </c>
      <c r="P67" s="379"/>
      <c r="Q67" s="376"/>
      <c r="R67" s="376"/>
      <c r="S67" s="376"/>
      <c r="T67" s="376"/>
      <c r="U67" s="376"/>
      <c r="V67" s="373"/>
      <c r="W67" s="241">
        <f t="shared" si="74"/>
        <v>0</v>
      </c>
      <c r="Y67" s="40">
        <v>2150</v>
      </c>
      <c r="Z67" s="17"/>
      <c r="AA67" s="17"/>
      <c r="AB67" s="18"/>
      <c r="AC67" s="19"/>
      <c r="AD67" s="74">
        <f t="shared" ref="AD67" si="87">SUM(Y67:AC67)</f>
        <v>2150</v>
      </c>
      <c r="AE67" s="240">
        <v>1</v>
      </c>
      <c r="AF67" s="241">
        <f t="shared" ref="AF67" si="88">AD67*$F67*AE67</f>
        <v>10.507179496496382</v>
      </c>
      <c r="AG67" s="379"/>
      <c r="AH67" s="376"/>
      <c r="AI67" s="376"/>
      <c r="AJ67" s="376"/>
      <c r="AK67" s="376"/>
      <c r="AL67" s="376"/>
      <c r="AM67" s="373"/>
      <c r="AN67" s="241">
        <f t="shared" si="76"/>
        <v>12.74043216545101</v>
      </c>
      <c r="AP67" s="40"/>
      <c r="AQ67" s="17"/>
      <c r="AR67" s="17"/>
      <c r="AS67" s="18"/>
      <c r="AT67" s="19"/>
      <c r="AU67" s="74">
        <f t="shared" ref="AU67" si="89">SUM(AP67:AT67)</f>
        <v>0</v>
      </c>
      <c r="AV67" s="240">
        <v>1</v>
      </c>
      <c r="AW67" s="241">
        <f t="shared" ref="AW67" si="90">AU67*$F67*AV67</f>
        <v>0</v>
      </c>
      <c r="AX67" s="379"/>
      <c r="AY67" s="376"/>
      <c r="AZ67" s="376"/>
      <c r="BA67" s="376"/>
      <c r="BB67" s="376"/>
      <c r="BC67" s="376"/>
      <c r="BD67" s="373"/>
      <c r="BE67" s="241">
        <f t="shared" si="78"/>
        <v>0</v>
      </c>
      <c r="BG67" s="40"/>
      <c r="BH67" s="17"/>
      <c r="BI67" s="17"/>
      <c r="BJ67" s="18"/>
      <c r="BK67" s="19"/>
      <c r="BL67" s="74">
        <f t="shared" ref="BL67" si="91">SUM(BG67:BK67)</f>
        <v>0</v>
      </c>
      <c r="BM67" s="240">
        <v>1</v>
      </c>
      <c r="BN67" s="241">
        <f t="shared" ref="BN67" si="92">BL67*$F67*BM67</f>
        <v>0</v>
      </c>
      <c r="BO67" s="379"/>
      <c r="BP67" s="376"/>
      <c r="BQ67" s="376"/>
      <c r="BR67" s="376"/>
      <c r="BS67" s="376"/>
      <c r="BT67" s="376"/>
      <c r="BU67" s="373"/>
      <c r="BV67" s="241">
        <f t="shared" si="80"/>
        <v>0</v>
      </c>
      <c r="BX67" s="40"/>
      <c r="BY67" s="17"/>
      <c r="BZ67" s="17"/>
      <c r="CA67" s="18"/>
      <c r="CB67" s="19"/>
      <c r="CC67" s="74">
        <f t="shared" ref="CC67" si="93">SUM(BX67:CB67)</f>
        <v>0</v>
      </c>
      <c r="CD67" s="240">
        <v>1</v>
      </c>
      <c r="CE67" s="241">
        <f t="shared" ref="CE67" si="94">CC67*$F67*CD67</f>
        <v>0</v>
      </c>
      <c r="CF67" s="379"/>
      <c r="CG67" s="376"/>
      <c r="CH67" s="376"/>
      <c r="CI67" s="376"/>
      <c r="CJ67" s="376"/>
      <c r="CK67" s="376"/>
      <c r="CL67" s="373"/>
      <c r="CM67" s="241">
        <f t="shared" si="82"/>
        <v>0</v>
      </c>
      <c r="CN67" s="39"/>
      <c r="CO67" s="3"/>
      <c r="CP67" s="76">
        <f t="shared" si="83"/>
        <v>10.507179496496382</v>
      </c>
      <c r="CQ67" s="3"/>
      <c r="CR67" s="76">
        <f t="shared" si="84"/>
        <v>12.74043216545101</v>
      </c>
      <c r="CT67" s="76">
        <f t="shared" si="17"/>
        <v>2150</v>
      </c>
    </row>
    <row r="68" spans="1:98" ht="15" customHeight="1" x14ac:dyDescent="0.2">
      <c r="A68" s="389"/>
      <c r="B68" s="395"/>
      <c r="C68" s="234" t="s">
        <v>191</v>
      </c>
      <c r="D68" s="235" t="s">
        <v>353</v>
      </c>
      <c r="E68" s="239" t="s">
        <v>2</v>
      </c>
      <c r="F68" s="300">
        <f>F1*(0.0175*(1.014*1.012*1.015)*1.1/1.11)*1.028</f>
        <v>1.900523423138881E-2</v>
      </c>
      <c r="H68" s="40"/>
      <c r="I68" s="17"/>
      <c r="J68" s="17"/>
      <c r="K68" s="18"/>
      <c r="L68" s="19"/>
      <c r="M68" s="74">
        <f t="shared" ref="M68:M96" si="95">SUM(H68:L68)</f>
        <v>0</v>
      </c>
      <c r="N68" s="240">
        <v>1</v>
      </c>
      <c r="O68" s="241">
        <f t="shared" ref="O68:O96" si="96">M68*$F68*N68</f>
        <v>0</v>
      </c>
      <c r="P68" s="379"/>
      <c r="Q68" s="376"/>
      <c r="R68" s="376"/>
      <c r="S68" s="376"/>
      <c r="T68" s="376"/>
      <c r="U68" s="376"/>
      <c r="V68" s="373"/>
      <c r="W68" s="241">
        <f t="shared" si="74"/>
        <v>0</v>
      </c>
      <c r="Y68" s="40">
        <v>3200</v>
      </c>
      <c r="Z68" s="17"/>
      <c r="AA68" s="17"/>
      <c r="AB68" s="18"/>
      <c r="AC68" s="19"/>
      <c r="AD68" s="74">
        <f t="shared" ref="AD68:AD96" si="97">SUM(Y68:AC68)</f>
        <v>3200</v>
      </c>
      <c r="AE68" s="240">
        <v>1</v>
      </c>
      <c r="AF68" s="241">
        <f t="shared" ref="AF68:AF96" si="98">AD68*$F68*AE68</f>
        <v>60.816749540444192</v>
      </c>
      <c r="AG68" s="379"/>
      <c r="AH68" s="376"/>
      <c r="AI68" s="376"/>
      <c r="AJ68" s="376"/>
      <c r="AK68" s="376"/>
      <c r="AL68" s="376"/>
      <c r="AM68" s="373"/>
      <c r="AN68" s="241">
        <f t="shared" si="76"/>
        <v>73.74306989821774</v>
      </c>
      <c r="AP68" s="40"/>
      <c r="AQ68" s="17"/>
      <c r="AR68" s="17"/>
      <c r="AS68" s="18"/>
      <c r="AT68" s="19"/>
      <c r="AU68" s="74">
        <f t="shared" ref="AU68:AU96" si="99">SUM(AP68:AT68)</f>
        <v>0</v>
      </c>
      <c r="AV68" s="240">
        <v>1</v>
      </c>
      <c r="AW68" s="241">
        <f t="shared" ref="AW68:AW96" si="100">AU68*$F68*AV68</f>
        <v>0</v>
      </c>
      <c r="AX68" s="379"/>
      <c r="AY68" s="376"/>
      <c r="AZ68" s="376"/>
      <c r="BA68" s="376"/>
      <c r="BB68" s="376"/>
      <c r="BC68" s="376"/>
      <c r="BD68" s="373"/>
      <c r="BE68" s="241">
        <f t="shared" si="78"/>
        <v>0</v>
      </c>
      <c r="BG68" s="40"/>
      <c r="BH68" s="17"/>
      <c r="BI68" s="17"/>
      <c r="BJ68" s="18"/>
      <c r="BK68" s="19"/>
      <c r="BL68" s="74">
        <f t="shared" ref="BL68:BL96" si="101">SUM(BG68:BK68)</f>
        <v>0</v>
      </c>
      <c r="BM68" s="240">
        <v>1</v>
      </c>
      <c r="BN68" s="241">
        <f t="shared" ref="BN68:BN96" si="102">BL68*$F68*BM68</f>
        <v>0</v>
      </c>
      <c r="BO68" s="379"/>
      <c r="BP68" s="376"/>
      <c r="BQ68" s="376"/>
      <c r="BR68" s="376"/>
      <c r="BS68" s="376"/>
      <c r="BT68" s="376"/>
      <c r="BU68" s="373"/>
      <c r="BV68" s="241">
        <f t="shared" si="80"/>
        <v>0</v>
      </c>
      <c r="BX68" s="40"/>
      <c r="BY68" s="17"/>
      <c r="BZ68" s="17"/>
      <c r="CA68" s="18"/>
      <c r="CB68" s="19"/>
      <c r="CC68" s="74">
        <f t="shared" ref="CC68:CC96" si="103">SUM(BX68:CB68)</f>
        <v>0</v>
      </c>
      <c r="CD68" s="240">
        <v>1</v>
      </c>
      <c r="CE68" s="241">
        <f t="shared" ref="CE68:CE96" si="104">CC68*$F68*CD68</f>
        <v>0</v>
      </c>
      <c r="CF68" s="379"/>
      <c r="CG68" s="376"/>
      <c r="CH68" s="376"/>
      <c r="CI68" s="376"/>
      <c r="CJ68" s="376"/>
      <c r="CK68" s="376"/>
      <c r="CL68" s="373"/>
      <c r="CM68" s="241">
        <f t="shared" si="82"/>
        <v>0</v>
      </c>
      <c r="CN68" s="39"/>
      <c r="CO68" s="3"/>
      <c r="CP68" s="76">
        <f t="shared" si="83"/>
        <v>60.816749540444192</v>
      </c>
      <c r="CQ68" s="3"/>
      <c r="CR68" s="76">
        <f t="shared" si="84"/>
        <v>73.74306989821774</v>
      </c>
      <c r="CT68" s="76">
        <f t="shared" si="17"/>
        <v>3200</v>
      </c>
    </row>
    <row r="69" spans="1:98" ht="15" customHeight="1" x14ac:dyDescent="0.2">
      <c r="A69" s="389"/>
      <c r="B69" s="395"/>
      <c r="C69" s="234" t="s">
        <v>192</v>
      </c>
      <c r="D69" s="235" t="s">
        <v>354</v>
      </c>
      <c r="E69" s="239" t="s">
        <v>2</v>
      </c>
      <c r="F69" s="300">
        <f>F1*(0.035*(1.014*1.012*1.015)*1.1/1.11)*1.028</f>
        <v>3.801046846277762E-2</v>
      </c>
      <c r="H69" s="40"/>
      <c r="I69" s="17"/>
      <c r="J69" s="17"/>
      <c r="K69" s="18"/>
      <c r="L69" s="19"/>
      <c r="M69" s="74">
        <f t="shared" si="95"/>
        <v>0</v>
      </c>
      <c r="N69" s="240">
        <v>1</v>
      </c>
      <c r="O69" s="241">
        <f t="shared" si="96"/>
        <v>0</v>
      </c>
      <c r="P69" s="379"/>
      <c r="Q69" s="376"/>
      <c r="R69" s="376"/>
      <c r="S69" s="376"/>
      <c r="T69" s="376"/>
      <c r="U69" s="376"/>
      <c r="V69" s="373"/>
      <c r="W69" s="241">
        <f t="shared" si="74"/>
        <v>0</v>
      </c>
      <c r="Y69" s="40">
        <v>0</v>
      </c>
      <c r="Z69" s="17"/>
      <c r="AA69" s="17"/>
      <c r="AB69" s="18"/>
      <c r="AC69" s="19"/>
      <c r="AD69" s="74">
        <f t="shared" si="97"/>
        <v>0</v>
      </c>
      <c r="AE69" s="240">
        <v>1</v>
      </c>
      <c r="AF69" s="241">
        <f t="shared" si="98"/>
        <v>0</v>
      </c>
      <c r="AG69" s="379"/>
      <c r="AH69" s="376"/>
      <c r="AI69" s="376"/>
      <c r="AJ69" s="376"/>
      <c r="AK69" s="376"/>
      <c r="AL69" s="376"/>
      <c r="AM69" s="373"/>
      <c r="AN69" s="241">
        <f t="shared" si="76"/>
        <v>0</v>
      </c>
      <c r="AP69" s="40"/>
      <c r="AQ69" s="17"/>
      <c r="AR69" s="17"/>
      <c r="AS69" s="18"/>
      <c r="AT69" s="19"/>
      <c r="AU69" s="74">
        <f t="shared" si="99"/>
        <v>0</v>
      </c>
      <c r="AV69" s="240">
        <v>1</v>
      </c>
      <c r="AW69" s="241">
        <f t="shared" si="100"/>
        <v>0</v>
      </c>
      <c r="AX69" s="379"/>
      <c r="AY69" s="376"/>
      <c r="AZ69" s="376"/>
      <c r="BA69" s="376"/>
      <c r="BB69" s="376"/>
      <c r="BC69" s="376"/>
      <c r="BD69" s="373"/>
      <c r="BE69" s="241">
        <f t="shared" si="78"/>
        <v>0</v>
      </c>
      <c r="BG69" s="40"/>
      <c r="BH69" s="17"/>
      <c r="BI69" s="17"/>
      <c r="BJ69" s="18"/>
      <c r="BK69" s="19"/>
      <c r="BL69" s="74">
        <f t="shared" si="101"/>
        <v>0</v>
      </c>
      <c r="BM69" s="240">
        <v>1</v>
      </c>
      <c r="BN69" s="241">
        <f t="shared" si="102"/>
        <v>0</v>
      </c>
      <c r="BO69" s="379"/>
      <c r="BP69" s="376"/>
      <c r="BQ69" s="376"/>
      <c r="BR69" s="376"/>
      <c r="BS69" s="376"/>
      <c r="BT69" s="376"/>
      <c r="BU69" s="373"/>
      <c r="BV69" s="241">
        <f t="shared" si="80"/>
        <v>0</v>
      </c>
      <c r="BX69" s="40"/>
      <c r="BY69" s="17"/>
      <c r="BZ69" s="17"/>
      <c r="CA69" s="18"/>
      <c r="CB69" s="19"/>
      <c r="CC69" s="74">
        <f t="shared" si="103"/>
        <v>0</v>
      </c>
      <c r="CD69" s="240">
        <v>1</v>
      </c>
      <c r="CE69" s="241">
        <f t="shared" si="104"/>
        <v>0</v>
      </c>
      <c r="CF69" s="379"/>
      <c r="CG69" s="376"/>
      <c r="CH69" s="376"/>
      <c r="CI69" s="376"/>
      <c r="CJ69" s="376"/>
      <c r="CK69" s="376"/>
      <c r="CL69" s="373"/>
      <c r="CM69" s="241">
        <f t="shared" si="82"/>
        <v>0</v>
      </c>
      <c r="CN69" s="39"/>
      <c r="CO69" s="3"/>
      <c r="CP69" s="76">
        <f t="shared" si="83"/>
        <v>0</v>
      </c>
      <c r="CQ69" s="3"/>
      <c r="CR69" s="76">
        <f t="shared" si="84"/>
        <v>0</v>
      </c>
      <c r="CT69" s="76">
        <f t="shared" si="17"/>
        <v>0</v>
      </c>
    </row>
    <row r="70" spans="1:98" ht="15" customHeight="1" x14ac:dyDescent="0.2">
      <c r="A70" s="389"/>
      <c r="B70" s="395"/>
      <c r="C70" s="234" t="s">
        <v>193</v>
      </c>
      <c r="D70" s="235" t="s">
        <v>355</v>
      </c>
      <c r="E70" s="239" t="s">
        <v>2</v>
      </c>
      <c r="F70" s="300">
        <f>F1*(0.034*(1.014*1.012*1.015)*1.1/1.11)*1.028</f>
        <v>3.6924455078126833E-2</v>
      </c>
      <c r="H70" s="40"/>
      <c r="I70" s="17"/>
      <c r="J70" s="17"/>
      <c r="K70" s="18"/>
      <c r="L70" s="19"/>
      <c r="M70" s="74">
        <f t="shared" si="95"/>
        <v>0</v>
      </c>
      <c r="N70" s="240">
        <v>1</v>
      </c>
      <c r="O70" s="241">
        <f t="shared" si="96"/>
        <v>0</v>
      </c>
      <c r="P70" s="379"/>
      <c r="Q70" s="376"/>
      <c r="R70" s="376"/>
      <c r="S70" s="376"/>
      <c r="T70" s="376"/>
      <c r="U70" s="376"/>
      <c r="V70" s="373"/>
      <c r="W70" s="241">
        <f t="shared" si="74"/>
        <v>0</v>
      </c>
      <c r="Y70" s="40">
        <v>0</v>
      </c>
      <c r="Z70" s="17"/>
      <c r="AA70" s="17"/>
      <c r="AB70" s="18"/>
      <c r="AC70" s="19"/>
      <c r="AD70" s="74">
        <f t="shared" si="97"/>
        <v>0</v>
      </c>
      <c r="AE70" s="240">
        <v>1</v>
      </c>
      <c r="AF70" s="241">
        <f t="shared" si="98"/>
        <v>0</v>
      </c>
      <c r="AG70" s="379"/>
      <c r="AH70" s="376"/>
      <c r="AI70" s="376"/>
      <c r="AJ70" s="376"/>
      <c r="AK70" s="376"/>
      <c r="AL70" s="376"/>
      <c r="AM70" s="373"/>
      <c r="AN70" s="241">
        <f t="shared" si="76"/>
        <v>0</v>
      </c>
      <c r="AP70" s="40"/>
      <c r="AQ70" s="17"/>
      <c r="AR70" s="17"/>
      <c r="AS70" s="18"/>
      <c r="AT70" s="19"/>
      <c r="AU70" s="74">
        <f t="shared" si="99"/>
        <v>0</v>
      </c>
      <c r="AV70" s="240">
        <v>1</v>
      </c>
      <c r="AW70" s="241">
        <f t="shared" si="100"/>
        <v>0</v>
      </c>
      <c r="AX70" s="379"/>
      <c r="AY70" s="376"/>
      <c r="AZ70" s="376"/>
      <c r="BA70" s="376"/>
      <c r="BB70" s="376"/>
      <c r="BC70" s="376"/>
      <c r="BD70" s="373"/>
      <c r="BE70" s="241">
        <f t="shared" si="78"/>
        <v>0</v>
      </c>
      <c r="BG70" s="40"/>
      <c r="BH70" s="17"/>
      <c r="BI70" s="17"/>
      <c r="BJ70" s="18"/>
      <c r="BK70" s="19"/>
      <c r="BL70" s="74">
        <f t="shared" si="101"/>
        <v>0</v>
      </c>
      <c r="BM70" s="240">
        <v>1</v>
      </c>
      <c r="BN70" s="241">
        <f t="shared" si="102"/>
        <v>0</v>
      </c>
      <c r="BO70" s="379"/>
      <c r="BP70" s="376"/>
      <c r="BQ70" s="376"/>
      <c r="BR70" s="376"/>
      <c r="BS70" s="376"/>
      <c r="BT70" s="376"/>
      <c r="BU70" s="373"/>
      <c r="BV70" s="241">
        <f t="shared" si="80"/>
        <v>0</v>
      </c>
      <c r="BX70" s="40"/>
      <c r="BY70" s="17"/>
      <c r="BZ70" s="17"/>
      <c r="CA70" s="18"/>
      <c r="CB70" s="19"/>
      <c r="CC70" s="74">
        <f t="shared" si="103"/>
        <v>0</v>
      </c>
      <c r="CD70" s="240">
        <v>1</v>
      </c>
      <c r="CE70" s="241">
        <f t="shared" si="104"/>
        <v>0</v>
      </c>
      <c r="CF70" s="379"/>
      <c r="CG70" s="376"/>
      <c r="CH70" s="376"/>
      <c r="CI70" s="376"/>
      <c r="CJ70" s="376"/>
      <c r="CK70" s="376"/>
      <c r="CL70" s="373"/>
      <c r="CM70" s="241">
        <f t="shared" si="82"/>
        <v>0</v>
      </c>
      <c r="CN70" s="39"/>
      <c r="CO70" s="3"/>
      <c r="CP70" s="76">
        <f t="shared" si="83"/>
        <v>0</v>
      </c>
      <c r="CQ70" s="3"/>
      <c r="CR70" s="76">
        <f t="shared" si="84"/>
        <v>0</v>
      </c>
      <c r="CT70" s="76">
        <f t="shared" si="17"/>
        <v>0</v>
      </c>
    </row>
    <row r="71" spans="1:98" ht="15" customHeight="1" x14ac:dyDescent="0.2">
      <c r="A71" s="389"/>
      <c r="B71" s="395"/>
      <c r="C71" s="234" t="s">
        <v>194</v>
      </c>
      <c r="D71" s="242" t="s">
        <v>356</v>
      </c>
      <c r="E71" s="234" t="s">
        <v>2</v>
      </c>
      <c r="F71" s="301">
        <f>F1*(0.0158*(1.014*1.012*1.015)*1.1/1.11)*1.028</f>
        <v>1.7159011477482469E-2</v>
      </c>
      <c r="H71" s="42"/>
      <c r="I71" s="20"/>
      <c r="J71" s="20"/>
      <c r="K71" s="21"/>
      <c r="L71" s="22"/>
      <c r="M71" s="74">
        <f t="shared" si="95"/>
        <v>0</v>
      </c>
      <c r="N71" s="240">
        <v>1</v>
      </c>
      <c r="O71" s="241">
        <f t="shared" si="96"/>
        <v>0</v>
      </c>
      <c r="P71" s="379"/>
      <c r="Q71" s="376"/>
      <c r="R71" s="376"/>
      <c r="S71" s="376"/>
      <c r="T71" s="376"/>
      <c r="U71" s="376"/>
      <c r="V71" s="373"/>
      <c r="W71" s="241">
        <f t="shared" si="74"/>
        <v>0</v>
      </c>
      <c r="Y71" s="42">
        <v>7100</v>
      </c>
      <c r="Z71" s="20"/>
      <c r="AA71" s="20"/>
      <c r="AB71" s="21"/>
      <c r="AC71" s="22"/>
      <c r="AD71" s="74">
        <f t="shared" si="97"/>
        <v>7100</v>
      </c>
      <c r="AE71" s="240">
        <v>1</v>
      </c>
      <c r="AF71" s="241">
        <f t="shared" si="98"/>
        <v>121.82898149012553</v>
      </c>
      <c r="AG71" s="379"/>
      <c r="AH71" s="376"/>
      <c r="AI71" s="376"/>
      <c r="AJ71" s="376"/>
      <c r="AK71" s="376"/>
      <c r="AL71" s="376"/>
      <c r="AM71" s="373"/>
      <c r="AN71" s="241">
        <f t="shared" si="76"/>
        <v>147.72317109253692</v>
      </c>
      <c r="AP71" s="42"/>
      <c r="AQ71" s="20"/>
      <c r="AR71" s="20"/>
      <c r="AS71" s="21"/>
      <c r="AT71" s="22"/>
      <c r="AU71" s="74">
        <f t="shared" si="99"/>
        <v>0</v>
      </c>
      <c r="AV71" s="240">
        <v>1</v>
      </c>
      <c r="AW71" s="241">
        <f t="shared" si="100"/>
        <v>0</v>
      </c>
      <c r="AX71" s="379"/>
      <c r="AY71" s="376"/>
      <c r="AZ71" s="376"/>
      <c r="BA71" s="376"/>
      <c r="BB71" s="376"/>
      <c r="BC71" s="376"/>
      <c r="BD71" s="373"/>
      <c r="BE71" s="241">
        <f t="shared" si="78"/>
        <v>0</v>
      </c>
      <c r="BG71" s="42"/>
      <c r="BH71" s="20"/>
      <c r="BI71" s="20"/>
      <c r="BJ71" s="21"/>
      <c r="BK71" s="22"/>
      <c r="BL71" s="74">
        <f t="shared" si="101"/>
        <v>0</v>
      </c>
      <c r="BM71" s="240">
        <v>1</v>
      </c>
      <c r="BN71" s="241">
        <f t="shared" si="102"/>
        <v>0</v>
      </c>
      <c r="BO71" s="379"/>
      <c r="BP71" s="376"/>
      <c r="BQ71" s="376"/>
      <c r="BR71" s="376"/>
      <c r="BS71" s="376"/>
      <c r="BT71" s="376"/>
      <c r="BU71" s="373"/>
      <c r="BV71" s="241">
        <f t="shared" si="80"/>
        <v>0</v>
      </c>
      <c r="BX71" s="42"/>
      <c r="BY71" s="20"/>
      <c r="BZ71" s="20"/>
      <c r="CA71" s="21"/>
      <c r="CB71" s="22"/>
      <c r="CC71" s="74">
        <f t="shared" si="103"/>
        <v>0</v>
      </c>
      <c r="CD71" s="240">
        <v>1</v>
      </c>
      <c r="CE71" s="241">
        <f t="shared" si="104"/>
        <v>0</v>
      </c>
      <c r="CF71" s="379"/>
      <c r="CG71" s="376"/>
      <c r="CH71" s="376"/>
      <c r="CI71" s="376"/>
      <c r="CJ71" s="376"/>
      <c r="CK71" s="376"/>
      <c r="CL71" s="373"/>
      <c r="CM71" s="241">
        <f t="shared" si="82"/>
        <v>0</v>
      </c>
      <c r="CN71" s="39"/>
      <c r="CO71" s="3"/>
      <c r="CP71" s="76">
        <f t="shared" si="83"/>
        <v>121.82898149012553</v>
      </c>
      <c r="CQ71" s="3"/>
      <c r="CR71" s="76">
        <f t="shared" si="84"/>
        <v>147.72317109253692</v>
      </c>
      <c r="CT71" s="76">
        <f t="shared" si="17"/>
        <v>7100</v>
      </c>
    </row>
    <row r="72" spans="1:98" ht="15" customHeight="1" x14ac:dyDescent="0.2">
      <c r="A72" s="389"/>
      <c r="B72" s="394" t="s">
        <v>131</v>
      </c>
      <c r="C72" s="234" t="s">
        <v>195</v>
      </c>
      <c r="D72" s="242" t="s">
        <v>410</v>
      </c>
      <c r="E72" s="234" t="s">
        <v>3</v>
      </c>
      <c r="F72" s="301">
        <f>F1*(8.6*(1.014*1.012*1.015)*1.1/1.11)*1.028</f>
        <v>9.3397151079967848</v>
      </c>
      <c r="H72" s="42"/>
      <c r="I72" s="20"/>
      <c r="J72" s="20"/>
      <c r="K72" s="21"/>
      <c r="L72" s="22"/>
      <c r="M72" s="74">
        <f t="shared" si="95"/>
        <v>0</v>
      </c>
      <c r="N72" s="240">
        <v>1</v>
      </c>
      <c r="O72" s="241">
        <f t="shared" si="96"/>
        <v>0</v>
      </c>
      <c r="P72" s="379"/>
      <c r="Q72" s="376"/>
      <c r="R72" s="376"/>
      <c r="S72" s="376"/>
      <c r="T72" s="376"/>
      <c r="U72" s="376"/>
      <c r="V72" s="373"/>
      <c r="W72" s="241">
        <f t="shared" si="74"/>
        <v>0</v>
      </c>
      <c r="Y72" s="42"/>
      <c r="Z72" s="20"/>
      <c r="AA72" s="20"/>
      <c r="AB72" s="21"/>
      <c r="AC72" s="22"/>
      <c r="AD72" s="74">
        <f t="shared" si="97"/>
        <v>0</v>
      </c>
      <c r="AE72" s="240">
        <v>1</v>
      </c>
      <c r="AF72" s="241">
        <f t="shared" si="98"/>
        <v>0</v>
      </c>
      <c r="AG72" s="379"/>
      <c r="AH72" s="376"/>
      <c r="AI72" s="376"/>
      <c r="AJ72" s="376"/>
      <c r="AK72" s="376"/>
      <c r="AL72" s="376"/>
      <c r="AM72" s="373"/>
      <c r="AN72" s="241">
        <f t="shared" si="76"/>
        <v>0</v>
      </c>
      <c r="AP72" s="42"/>
      <c r="AQ72" s="20"/>
      <c r="AR72" s="20"/>
      <c r="AS72" s="21"/>
      <c r="AT72" s="22"/>
      <c r="AU72" s="74">
        <f t="shared" si="99"/>
        <v>0</v>
      </c>
      <c r="AV72" s="240">
        <v>1</v>
      </c>
      <c r="AW72" s="241">
        <f t="shared" si="100"/>
        <v>0</v>
      </c>
      <c r="AX72" s="379"/>
      <c r="AY72" s="376"/>
      <c r="AZ72" s="376"/>
      <c r="BA72" s="376"/>
      <c r="BB72" s="376"/>
      <c r="BC72" s="376"/>
      <c r="BD72" s="373"/>
      <c r="BE72" s="241">
        <f t="shared" si="78"/>
        <v>0</v>
      </c>
      <c r="BG72" s="42"/>
      <c r="BH72" s="20"/>
      <c r="BI72" s="20"/>
      <c r="BJ72" s="21"/>
      <c r="BK72" s="22"/>
      <c r="BL72" s="74">
        <f t="shared" si="101"/>
        <v>0</v>
      </c>
      <c r="BM72" s="240">
        <v>1</v>
      </c>
      <c r="BN72" s="241">
        <f t="shared" si="102"/>
        <v>0</v>
      </c>
      <c r="BO72" s="379"/>
      <c r="BP72" s="376"/>
      <c r="BQ72" s="376"/>
      <c r="BR72" s="376"/>
      <c r="BS72" s="376"/>
      <c r="BT72" s="376"/>
      <c r="BU72" s="373"/>
      <c r="BV72" s="241">
        <f t="shared" si="80"/>
        <v>0</v>
      </c>
      <c r="BX72" s="42"/>
      <c r="BY72" s="20"/>
      <c r="BZ72" s="20"/>
      <c r="CA72" s="21"/>
      <c r="CB72" s="22"/>
      <c r="CC72" s="74">
        <f t="shared" si="103"/>
        <v>0</v>
      </c>
      <c r="CD72" s="240">
        <v>1</v>
      </c>
      <c r="CE72" s="241">
        <f t="shared" si="104"/>
        <v>0</v>
      </c>
      <c r="CF72" s="379"/>
      <c r="CG72" s="376"/>
      <c r="CH72" s="376"/>
      <c r="CI72" s="376"/>
      <c r="CJ72" s="376"/>
      <c r="CK72" s="376"/>
      <c r="CL72" s="373"/>
      <c r="CM72" s="241">
        <f t="shared" si="82"/>
        <v>0</v>
      </c>
      <c r="CN72" s="39"/>
      <c r="CO72" s="3"/>
      <c r="CP72" s="76">
        <f t="shared" si="83"/>
        <v>0</v>
      </c>
      <c r="CQ72" s="3"/>
      <c r="CR72" s="76">
        <f t="shared" si="84"/>
        <v>0</v>
      </c>
      <c r="CT72" s="76">
        <f t="shared" ref="CT72:CT135" si="105">SUMIF(H$1:CM$1,3,H72:CM72)</f>
        <v>0</v>
      </c>
    </row>
    <row r="73" spans="1:98" ht="15" customHeight="1" x14ac:dyDescent="0.2">
      <c r="A73" s="389"/>
      <c r="B73" s="395"/>
      <c r="C73" s="234" t="s">
        <v>196</v>
      </c>
      <c r="D73" s="242" t="s">
        <v>411</v>
      </c>
      <c r="E73" s="234" t="s">
        <v>3</v>
      </c>
      <c r="F73" s="301">
        <f>F1*(6.5*(1.014*1.012*1.015)*1.1/1.11)*1.028</f>
        <v>7.0590870002301287</v>
      </c>
      <c r="H73" s="42"/>
      <c r="I73" s="20"/>
      <c r="J73" s="20"/>
      <c r="K73" s="21"/>
      <c r="L73" s="22"/>
      <c r="M73" s="74">
        <f t="shared" si="95"/>
        <v>0</v>
      </c>
      <c r="N73" s="240">
        <v>1</v>
      </c>
      <c r="O73" s="241">
        <f t="shared" si="96"/>
        <v>0</v>
      </c>
      <c r="P73" s="379"/>
      <c r="Q73" s="376"/>
      <c r="R73" s="376"/>
      <c r="S73" s="376"/>
      <c r="T73" s="376"/>
      <c r="U73" s="376"/>
      <c r="V73" s="373"/>
      <c r="W73" s="241">
        <f t="shared" si="74"/>
        <v>0</v>
      </c>
      <c r="Y73" s="42"/>
      <c r="Z73" s="20"/>
      <c r="AA73" s="20"/>
      <c r="AB73" s="21"/>
      <c r="AC73" s="22"/>
      <c r="AD73" s="74">
        <f t="shared" si="97"/>
        <v>0</v>
      </c>
      <c r="AE73" s="240">
        <v>1</v>
      </c>
      <c r="AF73" s="241">
        <f t="shared" si="98"/>
        <v>0</v>
      </c>
      <c r="AG73" s="379"/>
      <c r="AH73" s="376"/>
      <c r="AI73" s="376"/>
      <c r="AJ73" s="376"/>
      <c r="AK73" s="376"/>
      <c r="AL73" s="376"/>
      <c r="AM73" s="373"/>
      <c r="AN73" s="241">
        <f t="shared" si="76"/>
        <v>0</v>
      </c>
      <c r="AP73" s="42"/>
      <c r="AQ73" s="20"/>
      <c r="AR73" s="20"/>
      <c r="AS73" s="21"/>
      <c r="AT73" s="22"/>
      <c r="AU73" s="74">
        <f t="shared" si="99"/>
        <v>0</v>
      </c>
      <c r="AV73" s="240">
        <v>1</v>
      </c>
      <c r="AW73" s="241">
        <f t="shared" si="100"/>
        <v>0</v>
      </c>
      <c r="AX73" s="379"/>
      <c r="AY73" s="376"/>
      <c r="AZ73" s="376"/>
      <c r="BA73" s="376"/>
      <c r="BB73" s="376"/>
      <c r="BC73" s="376"/>
      <c r="BD73" s="373"/>
      <c r="BE73" s="241">
        <f t="shared" si="78"/>
        <v>0</v>
      </c>
      <c r="BG73" s="42"/>
      <c r="BH73" s="20"/>
      <c r="BI73" s="20"/>
      <c r="BJ73" s="21"/>
      <c r="BK73" s="22"/>
      <c r="BL73" s="74">
        <f t="shared" si="101"/>
        <v>0</v>
      </c>
      <c r="BM73" s="240">
        <v>1</v>
      </c>
      <c r="BN73" s="241">
        <f t="shared" si="102"/>
        <v>0</v>
      </c>
      <c r="BO73" s="379"/>
      <c r="BP73" s="376"/>
      <c r="BQ73" s="376"/>
      <c r="BR73" s="376"/>
      <c r="BS73" s="376"/>
      <c r="BT73" s="376"/>
      <c r="BU73" s="373"/>
      <c r="BV73" s="241">
        <f t="shared" si="80"/>
        <v>0</v>
      </c>
      <c r="BX73" s="42"/>
      <c r="BY73" s="20"/>
      <c r="BZ73" s="20"/>
      <c r="CA73" s="21"/>
      <c r="CB73" s="22"/>
      <c r="CC73" s="74">
        <f t="shared" si="103"/>
        <v>0</v>
      </c>
      <c r="CD73" s="240">
        <v>1</v>
      </c>
      <c r="CE73" s="241">
        <f t="shared" si="104"/>
        <v>0</v>
      </c>
      <c r="CF73" s="379"/>
      <c r="CG73" s="376"/>
      <c r="CH73" s="376"/>
      <c r="CI73" s="376"/>
      <c r="CJ73" s="376"/>
      <c r="CK73" s="376"/>
      <c r="CL73" s="373"/>
      <c r="CM73" s="241">
        <f t="shared" si="82"/>
        <v>0</v>
      </c>
      <c r="CN73" s="39"/>
      <c r="CO73" s="3"/>
      <c r="CP73" s="76">
        <f t="shared" si="83"/>
        <v>0</v>
      </c>
      <c r="CQ73" s="3"/>
      <c r="CR73" s="76">
        <f t="shared" si="84"/>
        <v>0</v>
      </c>
      <c r="CT73" s="76">
        <f t="shared" si="105"/>
        <v>0</v>
      </c>
    </row>
    <row r="74" spans="1:98" ht="15" customHeight="1" x14ac:dyDescent="0.2">
      <c r="A74" s="389"/>
      <c r="B74" s="395"/>
      <c r="C74" s="234" t="s">
        <v>197</v>
      </c>
      <c r="D74" s="242" t="s">
        <v>412</v>
      </c>
      <c r="E74" s="234" t="s">
        <v>3</v>
      </c>
      <c r="F74" s="301">
        <f>F1*(5.2*(1.014*1.012*1.015)*1.1/1.11)*1.028</f>
        <v>5.647269600184103</v>
      </c>
      <c r="H74" s="42"/>
      <c r="I74" s="20"/>
      <c r="J74" s="20"/>
      <c r="K74" s="21"/>
      <c r="L74" s="22"/>
      <c r="M74" s="74">
        <f t="shared" si="95"/>
        <v>0</v>
      </c>
      <c r="N74" s="240">
        <v>1</v>
      </c>
      <c r="O74" s="241">
        <f t="shared" si="96"/>
        <v>0</v>
      </c>
      <c r="P74" s="379"/>
      <c r="Q74" s="376"/>
      <c r="R74" s="376"/>
      <c r="S74" s="376"/>
      <c r="T74" s="376"/>
      <c r="U74" s="376"/>
      <c r="V74" s="373"/>
      <c r="W74" s="241">
        <f t="shared" si="74"/>
        <v>0</v>
      </c>
      <c r="Y74" s="42"/>
      <c r="Z74" s="20"/>
      <c r="AA74" s="20"/>
      <c r="AB74" s="21"/>
      <c r="AC74" s="22"/>
      <c r="AD74" s="74">
        <f t="shared" si="97"/>
        <v>0</v>
      </c>
      <c r="AE74" s="240">
        <v>1</v>
      </c>
      <c r="AF74" s="241">
        <f t="shared" si="98"/>
        <v>0</v>
      </c>
      <c r="AG74" s="379"/>
      <c r="AH74" s="376"/>
      <c r="AI74" s="376"/>
      <c r="AJ74" s="376"/>
      <c r="AK74" s="376"/>
      <c r="AL74" s="376"/>
      <c r="AM74" s="373"/>
      <c r="AN74" s="241">
        <f t="shared" si="76"/>
        <v>0</v>
      </c>
      <c r="AP74" s="42"/>
      <c r="AQ74" s="20"/>
      <c r="AR74" s="20"/>
      <c r="AS74" s="21"/>
      <c r="AT74" s="22"/>
      <c r="AU74" s="74">
        <f t="shared" si="99"/>
        <v>0</v>
      </c>
      <c r="AV74" s="240">
        <v>1</v>
      </c>
      <c r="AW74" s="241">
        <f t="shared" si="100"/>
        <v>0</v>
      </c>
      <c r="AX74" s="379"/>
      <c r="AY74" s="376"/>
      <c r="AZ74" s="376"/>
      <c r="BA74" s="376"/>
      <c r="BB74" s="376"/>
      <c r="BC74" s="376"/>
      <c r="BD74" s="373"/>
      <c r="BE74" s="241">
        <f t="shared" si="78"/>
        <v>0</v>
      </c>
      <c r="BG74" s="42"/>
      <c r="BH74" s="20"/>
      <c r="BI74" s="20"/>
      <c r="BJ74" s="21"/>
      <c r="BK74" s="22"/>
      <c r="BL74" s="74">
        <f t="shared" si="101"/>
        <v>0</v>
      </c>
      <c r="BM74" s="240">
        <v>1</v>
      </c>
      <c r="BN74" s="241">
        <f t="shared" si="102"/>
        <v>0</v>
      </c>
      <c r="BO74" s="379"/>
      <c r="BP74" s="376"/>
      <c r="BQ74" s="376"/>
      <c r="BR74" s="376"/>
      <c r="BS74" s="376"/>
      <c r="BT74" s="376"/>
      <c r="BU74" s="373"/>
      <c r="BV74" s="241">
        <f t="shared" si="80"/>
        <v>0</v>
      </c>
      <c r="BX74" s="42"/>
      <c r="BY74" s="20"/>
      <c r="BZ74" s="20"/>
      <c r="CA74" s="21"/>
      <c r="CB74" s="22"/>
      <c r="CC74" s="74">
        <f t="shared" si="103"/>
        <v>0</v>
      </c>
      <c r="CD74" s="240">
        <v>1</v>
      </c>
      <c r="CE74" s="241">
        <f t="shared" si="104"/>
        <v>0</v>
      </c>
      <c r="CF74" s="379"/>
      <c r="CG74" s="376"/>
      <c r="CH74" s="376"/>
      <c r="CI74" s="376"/>
      <c r="CJ74" s="376"/>
      <c r="CK74" s="376"/>
      <c r="CL74" s="373"/>
      <c r="CM74" s="241">
        <f t="shared" si="82"/>
        <v>0</v>
      </c>
      <c r="CN74" s="39"/>
      <c r="CO74" s="3"/>
      <c r="CP74" s="76">
        <f t="shared" si="83"/>
        <v>0</v>
      </c>
      <c r="CQ74" s="3"/>
      <c r="CR74" s="76">
        <f t="shared" si="84"/>
        <v>0</v>
      </c>
      <c r="CT74" s="76">
        <f t="shared" si="105"/>
        <v>0</v>
      </c>
    </row>
    <row r="75" spans="1:98" ht="15" customHeight="1" x14ac:dyDescent="0.2">
      <c r="A75" s="389"/>
      <c r="B75" s="395"/>
      <c r="C75" s="234" t="s">
        <v>198</v>
      </c>
      <c r="D75" s="242" t="s">
        <v>413</v>
      </c>
      <c r="E75" s="234" t="s">
        <v>3</v>
      </c>
      <c r="F75" s="301">
        <f>F1*(3.9*(1.014*1.012*1.015)*1.1/1.11)*1.028</f>
        <v>4.2354522001380772</v>
      </c>
      <c r="H75" s="42"/>
      <c r="I75" s="20"/>
      <c r="J75" s="20"/>
      <c r="K75" s="21"/>
      <c r="L75" s="22"/>
      <c r="M75" s="74">
        <f t="shared" si="95"/>
        <v>0</v>
      </c>
      <c r="N75" s="240">
        <v>1</v>
      </c>
      <c r="O75" s="241">
        <f t="shared" si="96"/>
        <v>0</v>
      </c>
      <c r="P75" s="379"/>
      <c r="Q75" s="376"/>
      <c r="R75" s="376"/>
      <c r="S75" s="376"/>
      <c r="T75" s="376"/>
      <c r="U75" s="376"/>
      <c r="V75" s="373"/>
      <c r="W75" s="241">
        <f t="shared" si="74"/>
        <v>0</v>
      </c>
      <c r="Y75" s="42">
        <v>3</v>
      </c>
      <c r="Z75" s="20"/>
      <c r="AA75" s="20"/>
      <c r="AB75" s="21"/>
      <c r="AC75" s="22"/>
      <c r="AD75" s="74">
        <f t="shared" si="97"/>
        <v>3</v>
      </c>
      <c r="AE75" s="240">
        <v>1</v>
      </c>
      <c r="AF75" s="241">
        <f t="shared" si="98"/>
        <v>12.706356600414232</v>
      </c>
      <c r="AG75" s="379"/>
      <c r="AH75" s="376"/>
      <c r="AI75" s="376"/>
      <c r="AJ75" s="376"/>
      <c r="AK75" s="376"/>
      <c r="AL75" s="376"/>
      <c r="AM75" s="373"/>
      <c r="AN75" s="241">
        <f t="shared" si="76"/>
        <v>15.40703424659192</v>
      </c>
      <c r="AP75" s="42"/>
      <c r="AQ75" s="20"/>
      <c r="AR75" s="20"/>
      <c r="AS75" s="21"/>
      <c r="AT75" s="22"/>
      <c r="AU75" s="74">
        <f t="shared" si="99"/>
        <v>0</v>
      </c>
      <c r="AV75" s="240">
        <v>1</v>
      </c>
      <c r="AW75" s="241">
        <f t="shared" si="100"/>
        <v>0</v>
      </c>
      <c r="AX75" s="379"/>
      <c r="AY75" s="376"/>
      <c r="AZ75" s="376"/>
      <c r="BA75" s="376"/>
      <c r="BB75" s="376"/>
      <c r="BC75" s="376"/>
      <c r="BD75" s="373"/>
      <c r="BE75" s="241">
        <f t="shared" si="78"/>
        <v>0</v>
      </c>
      <c r="BG75" s="42"/>
      <c r="BH75" s="20"/>
      <c r="BI75" s="20"/>
      <c r="BJ75" s="21"/>
      <c r="BK75" s="22"/>
      <c r="BL75" s="74">
        <f t="shared" si="101"/>
        <v>0</v>
      </c>
      <c r="BM75" s="240">
        <v>1</v>
      </c>
      <c r="BN75" s="241">
        <f t="shared" si="102"/>
        <v>0</v>
      </c>
      <c r="BO75" s="379"/>
      <c r="BP75" s="376"/>
      <c r="BQ75" s="376"/>
      <c r="BR75" s="376"/>
      <c r="BS75" s="376"/>
      <c r="BT75" s="376"/>
      <c r="BU75" s="373"/>
      <c r="BV75" s="241">
        <f t="shared" si="80"/>
        <v>0</v>
      </c>
      <c r="BX75" s="42"/>
      <c r="BY75" s="20"/>
      <c r="BZ75" s="20"/>
      <c r="CA75" s="21"/>
      <c r="CB75" s="22"/>
      <c r="CC75" s="74">
        <f t="shared" si="103"/>
        <v>0</v>
      </c>
      <c r="CD75" s="240">
        <v>1</v>
      </c>
      <c r="CE75" s="241">
        <f t="shared" si="104"/>
        <v>0</v>
      </c>
      <c r="CF75" s="379"/>
      <c r="CG75" s="376"/>
      <c r="CH75" s="376"/>
      <c r="CI75" s="376"/>
      <c r="CJ75" s="376"/>
      <c r="CK75" s="376"/>
      <c r="CL75" s="373"/>
      <c r="CM75" s="241">
        <f t="shared" si="82"/>
        <v>0</v>
      </c>
      <c r="CN75" s="39"/>
      <c r="CO75" s="3"/>
      <c r="CP75" s="76">
        <f t="shared" si="83"/>
        <v>12.706356600414232</v>
      </c>
      <c r="CQ75" s="3"/>
      <c r="CR75" s="76">
        <f t="shared" si="84"/>
        <v>15.40703424659192</v>
      </c>
      <c r="CT75" s="76">
        <f t="shared" si="105"/>
        <v>3</v>
      </c>
    </row>
    <row r="76" spans="1:98" ht="15" customHeight="1" x14ac:dyDescent="0.2">
      <c r="A76" s="389"/>
      <c r="B76" s="395"/>
      <c r="C76" s="234" t="s">
        <v>199</v>
      </c>
      <c r="D76" s="242" t="s">
        <v>414</v>
      </c>
      <c r="E76" s="234" t="s">
        <v>3</v>
      </c>
      <c r="F76" s="301">
        <f>F1*(3.3*(1.014*1.012*1.015)*1.1/1.11)*1.028</f>
        <v>3.583844169347604</v>
      </c>
      <c r="H76" s="42"/>
      <c r="I76" s="20"/>
      <c r="J76" s="20"/>
      <c r="K76" s="21"/>
      <c r="L76" s="22"/>
      <c r="M76" s="74">
        <f t="shared" ref="M76" si="106">SUM(H76:L76)</f>
        <v>0</v>
      </c>
      <c r="N76" s="240">
        <v>1</v>
      </c>
      <c r="O76" s="241">
        <f t="shared" ref="O76" si="107">M76*$F76*N76</f>
        <v>0</v>
      </c>
      <c r="P76" s="379"/>
      <c r="Q76" s="376"/>
      <c r="R76" s="376"/>
      <c r="S76" s="376"/>
      <c r="T76" s="376"/>
      <c r="U76" s="376"/>
      <c r="V76" s="373"/>
      <c r="W76" s="241">
        <f t="shared" si="74"/>
        <v>0</v>
      </c>
      <c r="Y76" s="42">
        <v>13</v>
      </c>
      <c r="Z76" s="20"/>
      <c r="AA76" s="20"/>
      <c r="AB76" s="21"/>
      <c r="AC76" s="22"/>
      <c r="AD76" s="74">
        <f t="shared" ref="AD76" si="108">SUM(Y76:AC76)</f>
        <v>13</v>
      </c>
      <c r="AE76" s="240">
        <v>1</v>
      </c>
      <c r="AF76" s="241">
        <f t="shared" ref="AF76" si="109">AD76*$F76*AE76</f>
        <v>46.589974201518849</v>
      </c>
      <c r="AG76" s="379"/>
      <c r="AH76" s="376"/>
      <c r="AI76" s="376"/>
      <c r="AJ76" s="376"/>
      <c r="AK76" s="376"/>
      <c r="AL76" s="376"/>
      <c r="AM76" s="373"/>
      <c r="AN76" s="241">
        <f t="shared" si="76"/>
        <v>56.492458904170377</v>
      </c>
      <c r="AP76" s="42"/>
      <c r="AQ76" s="20"/>
      <c r="AR76" s="20"/>
      <c r="AS76" s="21"/>
      <c r="AT76" s="22"/>
      <c r="AU76" s="74">
        <f t="shared" ref="AU76" si="110">SUM(AP76:AT76)</f>
        <v>0</v>
      </c>
      <c r="AV76" s="240">
        <v>1</v>
      </c>
      <c r="AW76" s="241">
        <f t="shared" ref="AW76" si="111">AU76*$F76*AV76</f>
        <v>0</v>
      </c>
      <c r="AX76" s="379"/>
      <c r="AY76" s="376"/>
      <c r="AZ76" s="376"/>
      <c r="BA76" s="376"/>
      <c r="BB76" s="376"/>
      <c r="BC76" s="376"/>
      <c r="BD76" s="373"/>
      <c r="BE76" s="241">
        <f t="shared" si="78"/>
        <v>0</v>
      </c>
      <c r="BG76" s="42"/>
      <c r="BH76" s="20"/>
      <c r="BI76" s="20"/>
      <c r="BJ76" s="21"/>
      <c r="BK76" s="22"/>
      <c r="BL76" s="74">
        <f t="shared" ref="BL76" si="112">SUM(BG76:BK76)</f>
        <v>0</v>
      </c>
      <c r="BM76" s="240">
        <v>1</v>
      </c>
      <c r="BN76" s="241">
        <f t="shared" ref="BN76" si="113">BL76*$F76*BM76</f>
        <v>0</v>
      </c>
      <c r="BO76" s="379"/>
      <c r="BP76" s="376"/>
      <c r="BQ76" s="376"/>
      <c r="BR76" s="376"/>
      <c r="BS76" s="376"/>
      <c r="BT76" s="376"/>
      <c r="BU76" s="373"/>
      <c r="BV76" s="241">
        <f t="shared" si="80"/>
        <v>0</v>
      </c>
      <c r="BX76" s="42"/>
      <c r="BY76" s="20"/>
      <c r="BZ76" s="20"/>
      <c r="CA76" s="21"/>
      <c r="CB76" s="22"/>
      <c r="CC76" s="74">
        <f t="shared" ref="CC76" si="114">SUM(BX76:CB76)</f>
        <v>0</v>
      </c>
      <c r="CD76" s="240">
        <v>1</v>
      </c>
      <c r="CE76" s="241">
        <f t="shared" ref="CE76" si="115">CC76*$F76*CD76</f>
        <v>0</v>
      </c>
      <c r="CF76" s="379"/>
      <c r="CG76" s="376"/>
      <c r="CH76" s="376"/>
      <c r="CI76" s="376"/>
      <c r="CJ76" s="376"/>
      <c r="CK76" s="376"/>
      <c r="CL76" s="373"/>
      <c r="CM76" s="241">
        <f t="shared" si="82"/>
        <v>0</v>
      </c>
      <c r="CN76" s="39"/>
      <c r="CO76" s="3"/>
      <c r="CP76" s="76">
        <f t="shared" si="83"/>
        <v>46.589974201518849</v>
      </c>
      <c r="CQ76" s="3"/>
      <c r="CR76" s="76">
        <f t="shared" si="84"/>
        <v>56.492458904170377</v>
      </c>
      <c r="CT76" s="76">
        <f t="shared" si="105"/>
        <v>13</v>
      </c>
    </row>
    <row r="77" spans="1:98" ht="15" customHeight="1" x14ac:dyDescent="0.2">
      <c r="A77" s="389"/>
      <c r="B77" s="395"/>
      <c r="C77" s="234" t="s">
        <v>200</v>
      </c>
      <c r="D77" s="242" t="s">
        <v>415</v>
      </c>
      <c r="E77" s="234" t="s">
        <v>3</v>
      </c>
      <c r="F77" s="301">
        <f>F1*(3.1*(1.014*1.012*1.015)*1.1/1.11)*1.028</f>
        <v>3.3666414924174464</v>
      </c>
      <c r="H77" s="42"/>
      <c r="I77" s="58"/>
      <c r="J77" s="20"/>
      <c r="K77" s="21"/>
      <c r="L77" s="22"/>
      <c r="M77" s="74">
        <f t="shared" si="95"/>
        <v>0</v>
      </c>
      <c r="N77" s="240">
        <v>1</v>
      </c>
      <c r="O77" s="241">
        <f t="shared" si="96"/>
        <v>0</v>
      </c>
      <c r="P77" s="379"/>
      <c r="Q77" s="376"/>
      <c r="R77" s="376"/>
      <c r="S77" s="376"/>
      <c r="T77" s="376"/>
      <c r="U77" s="376"/>
      <c r="V77" s="373"/>
      <c r="W77" s="241">
        <f t="shared" si="74"/>
        <v>0</v>
      </c>
      <c r="Y77" s="42"/>
      <c r="Z77" s="20"/>
      <c r="AA77" s="20"/>
      <c r="AB77" s="21"/>
      <c r="AC77" s="22"/>
      <c r="AD77" s="74">
        <f t="shared" si="97"/>
        <v>0</v>
      </c>
      <c r="AE77" s="240">
        <v>1</v>
      </c>
      <c r="AF77" s="241">
        <f t="shared" si="98"/>
        <v>0</v>
      </c>
      <c r="AG77" s="379"/>
      <c r="AH77" s="376"/>
      <c r="AI77" s="376"/>
      <c r="AJ77" s="376"/>
      <c r="AK77" s="376"/>
      <c r="AL77" s="376"/>
      <c r="AM77" s="373"/>
      <c r="AN77" s="241">
        <f t="shared" si="76"/>
        <v>0</v>
      </c>
      <c r="AP77" s="42"/>
      <c r="AQ77" s="20"/>
      <c r="AR77" s="20"/>
      <c r="AS77" s="21"/>
      <c r="AT77" s="22"/>
      <c r="AU77" s="74">
        <f t="shared" si="99"/>
        <v>0</v>
      </c>
      <c r="AV77" s="240">
        <v>1</v>
      </c>
      <c r="AW77" s="241">
        <f t="shared" si="100"/>
        <v>0</v>
      </c>
      <c r="AX77" s="379"/>
      <c r="AY77" s="376"/>
      <c r="AZ77" s="376"/>
      <c r="BA77" s="376"/>
      <c r="BB77" s="376"/>
      <c r="BC77" s="376"/>
      <c r="BD77" s="373"/>
      <c r="BE77" s="241">
        <f t="shared" si="78"/>
        <v>0</v>
      </c>
      <c r="BG77" s="42"/>
      <c r="BH77" s="20"/>
      <c r="BI77" s="20"/>
      <c r="BJ77" s="21"/>
      <c r="BK77" s="22"/>
      <c r="BL77" s="74">
        <f t="shared" si="101"/>
        <v>0</v>
      </c>
      <c r="BM77" s="240">
        <v>1</v>
      </c>
      <c r="BN77" s="241">
        <f t="shared" si="102"/>
        <v>0</v>
      </c>
      <c r="BO77" s="379"/>
      <c r="BP77" s="376"/>
      <c r="BQ77" s="376"/>
      <c r="BR77" s="376"/>
      <c r="BS77" s="376"/>
      <c r="BT77" s="376"/>
      <c r="BU77" s="373"/>
      <c r="BV77" s="241">
        <f t="shared" si="80"/>
        <v>0</v>
      </c>
      <c r="BX77" s="42"/>
      <c r="BY77" s="20"/>
      <c r="BZ77" s="20"/>
      <c r="CA77" s="21"/>
      <c r="CB77" s="22"/>
      <c r="CC77" s="74">
        <f t="shared" si="103"/>
        <v>0</v>
      </c>
      <c r="CD77" s="240">
        <v>1</v>
      </c>
      <c r="CE77" s="241">
        <f t="shared" si="104"/>
        <v>0</v>
      </c>
      <c r="CF77" s="379"/>
      <c r="CG77" s="376"/>
      <c r="CH77" s="376"/>
      <c r="CI77" s="376"/>
      <c r="CJ77" s="376"/>
      <c r="CK77" s="376"/>
      <c r="CL77" s="373"/>
      <c r="CM77" s="241">
        <f t="shared" si="82"/>
        <v>0</v>
      </c>
      <c r="CN77" s="39"/>
      <c r="CO77" s="3"/>
      <c r="CP77" s="76">
        <f t="shared" si="83"/>
        <v>0</v>
      </c>
      <c r="CQ77" s="3"/>
      <c r="CR77" s="76">
        <f t="shared" si="84"/>
        <v>0</v>
      </c>
      <c r="CT77" s="76">
        <f t="shared" si="105"/>
        <v>0</v>
      </c>
    </row>
    <row r="78" spans="1:98" ht="15" customHeight="1" x14ac:dyDescent="0.2">
      <c r="A78" s="389"/>
      <c r="B78" s="395"/>
      <c r="C78" s="234" t="s">
        <v>201</v>
      </c>
      <c r="D78" s="242" t="s">
        <v>416</v>
      </c>
      <c r="E78" s="234" t="s">
        <v>3</v>
      </c>
      <c r="F78" s="301">
        <f>F1*(2.7*(1.014*1.012*1.015)*1.1/1.11)*1.028</f>
        <v>2.9322361385571307</v>
      </c>
      <c r="H78" s="42"/>
      <c r="I78" s="20"/>
      <c r="J78" s="20"/>
      <c r="K78" s="21"/>
      <c r="L78" s="22"/>
      <c r="M78" s="74">
        <f t="shared" ref="M78:M79" si="116">SUM(H78:L78)</f>
        <v>0</v>
      </c>
      <c r="N78" s="240">
        <v>1</v>
      </c>
      <c r="O78" s="241">
        <f t="shared" ref="O78:O79" si="117">M78*$F78*N78</f>
        <v>0</v>
      </c>
      <c r="P78" s="379"/>
      <c r="Q78" s="376"/>
      <c r="R78" s="376"/>
      <c r="S78" s="376"/>
      <c r="T78" s="376"/>
      <c r="U78" s="376"/>
      <c r="V78" s="373"/>
      <c r="W78" s="241">
        <f t="shared" si="74"/>
        <v>0</v>
      </c>
      <c r="Y78" s="42"/>
      <c r="Z78" s="20"/>
      <c r="AA78" s="20"/>
      <c r="AB78" s="21"/>
      <c r="AC78" s="22"/>
      <c r="AD78" s="74">
        <f t="shared" ref="AD78:AD79" si="118">SUM(Y78:AC78)</f>
        <v>0</v>
      </c>
      <c r="AE78" s="240">
        <v>1</v>
      </c>
      <c r="AF78" s="241">
        <f t="shared" ref="AF78:AF79" si="119">AD78*$F78*AE78</f>
        <v>0</v>
      </c>
      <c r="AG78" s="379"/>
      <c r="AH78" s="376"/>
      <c r="AI78" s="376"/>
      <c r="AJ78" s="376"/>
      <c r="AK78" s="376"/>
      <c r="AL78" s="376"/>
      <c r="AM78" s="373"/>
      <c r="AN78" s="241">
        <f t="shared" si="76"/>
        <v>0</v>
      </c>
      <c r="AP78" s="42"/>
      <c r="AQ78" s="20"/>
      <c r="AR78" s="20"/>
      <c r="AS78" s="21"/>
      <c r="AT78" s="22"/>
      <c r="AU78" s="74">
        <f t="shared" ref="AU78:AU79" si="120">SUM(AP78:AT78)</f>
        <v>0</v>
      </c>
      <c r="AV78" s="240">
        <v>1</v>
      </c>
      <c r="AW78" s="241">
        <f t="shared" ref="AW78:AW79" si="121">AU78*$F78*AV78</f>
        <v>0</v>
      </c>
      <c r="AX78" s="379"/>
      <c r="AY78" s="376"/>
      <c r="AZ78" s="376"/>
      <c r="BA78" s="376"/>
      <c r="BB78" s="376"/>
      <c r="BC78" s="376"/>
      <c r="BD78" s="373"/>
      <c r="BE78" s="241">
        <f t="shared" si="78"/>
        <v>0</v>
      </c>
      <c r="BG78" s="42"/>
      <c r="BH78" s="20"/>
      <c r="BI78" s="20"/>
      <c r="BJ78" s="21"/>
      <c r="BK78" s="22"/>
      <c r="BL78" s="74">
        <f t="shared" ref="BL78:BL79" si="122">SUM(BG78:BK78)</f>
        <v>0</v>
      </c>
      <c r="BM78" s="240">
        <v>1</v>
      </c>
      <c r="BN78" s="241">
        <f t="shared" ref="BN78:BN79" si="123">BL78*$F78*BM78</f>
        <v>0</v>
      </c>
      <c r="BO78" s="379"/>
      <c r="BP78" s="376"/>
      <c r="BQ78" s="376"/>
      <c r="BR78" s="376"/>
      <c r="BS78" s="376"/>
      <c r="BT78" s="376"/>
      <c r="BU78" s="373"/>
      <c r="BV78" s="241">
        <f t="shared" si="80"/>
        <v>0</v>
      </c>
      <c r="BX78" s="42"/>
      <c r="BY78" s="20"/>
      <c r="BZ78" s="20"/>
      <c r="CA78" s="21"/>
      <c r="CB78" s="22"/>
      <c r="CC78" s="74">
        <f t="shared" ref="CC78:CC79" si="124">SUM(BX78:CB78)</f>
        <v>0</v>
      </c>
      <c r="CD78" s="240">
        <v>1</v>
      </c>
      <c r="CE78" s="241">
        <f t="shared" ref="CE78:CE79" si="125">CC78*$F78*CD78</f>
        <v>0</v>
      </c>
      <c r="CF78" s="379"/>
      <c r="CG78" s="376"/>
      <c r="CH78" s="376"/>
      <c r="CI78" s="376"/>
      <c r="CJ78" s="376"/>
      <c r="CK78" s="376"/>
      <c r="CL78" s="373"/>
      <c r="CM78" s="241">
        <f t="shared" si="82"/>
        <v>0</v>
      </c>
      <c r="CN78" s="39"/>
      <c r="CO78" s="3"/>
      <c r="CP78" s="76">
        <f t="shared" si="83"/>
        <v>0</v>
      </c>
      <c r="CQ78" s="3"/>
      <c r="CR78" s="76">
        <f t="shared" si="84"/>
        <v>0</v>
      </c>
      <c r="CT78" s="76">
        <f t="shared" si="105"/>
        <v>0</v>
      </c>
    </row>
    <row r="79" spans="1:98" ht="15" customHeight="1" x14ac:dyDescent="0.2">
      <c r="A79" s="389"/>
      <c r="B79" s="395"/>
      <c r="C79" s="234" t="s">
        <v>202</v>
      </c>
      <c r="D79" s="242" t="s">
        <v>417</v>
      </c>
      <c r="E79" s="234" t="s">
        <v>3</v>
      </c>
      <c r="F79" s="301">
        <f>F1*(2.35*(1.014*1.012*1.015)*1.1/1.11)*1.028</f>
        <v>2.5521314539293547</v>
      </c>
      <c r="H79" s="42"/>
      <c r="I79" s="20"/>
      <c r="J79" s="20"/>
      <c r="K79" s="21"/>
      <c r="L79" s="22"/>
      <c r="M79" s="74">
        <f t="shared" si="116"/>
        <v>0</v>
      </c>
      <c r="N79" s="240">
        <v>1</v>
      </c>
      <c r="O79" s="241">
        <f t="shared" si="117"/>
        <v>0</v>
      </c>
      <c r="P79" s="379"/>
      <c r="Q79" s="376"/>
      <c r="R79" s="376"/>
      <c r="S79" s="376"/>
      <c r="T79" s="376"/>
      <c r="U79" s="376"/>
      <c r="V79" s="373"/>
      <c r="W79" s="241">
        <f t="shared" si="74"/>
        <v>0</v>
      </c>
      <c r="Y79" s="42"/>
      <c r="Z79" s="20"/>
      <c r="AA79" s="20"/>
      <c r="AB79" s="21"/>
      <c r="AC79" s="22"/>
      <c r="AD79" s="74">
        <f t="shared" si="118"/>
        <v>0</v>
      </c>
      <c r="AE79" s="240">
        <v>1</v>
      </c>
      <c r="AF79" s="241">
        <f t="shared" si="119"/>
        <v>0</v>
      </c>
      <c r="AG79" s="379"/>
      <c r="AH79" s="376"/>
      <c r="AI79" s="376"/>
      <c r="AJ79" s="376"/>
      <c r="AK79" s="376"/>
      <c r="AL79" s="376"/>
      <c r="AM79" s="373"/>
      <c r="AN79" s="241">
        <f t="shared" si="76"/>
        <v>0</v>
      </c>
      <c r="AP79" s="42"/>
      <c r="AQ79" s="20"/>
      <c r="AR79" s="20"/>
      <c r="AS79" s="21"/>
      <c r="AT79" s="22"/>
      <c r="AU79" s="74">
        <f t="shared" si="120"/>
        <v>0</v>
      </c>
      <c r="AV79" s="240">
        <v>1</v>
      </c>
      <c r="AW79" s="241">
        <f t="shared" si="121"/>
        <v>0</v>
      </c>
      <c r="AX79" s="379"/>
      <c r="AY79" s="376"/>
      <c r="AZ79" s="376"/>
      <c r="BA79" s="376"/>
      <c r="BB79" s="376"/>
      <c r="BC79" s="376"/>
      <c r="BD79" s="373"/>
      <c r="BE79" s="241">
        <f t="shared" si="78"/>
        <v>0</v>
      </c>
      <c r="BG79" s="42"/>
      <c r="BH79" s="20"/>
      <c r="BI79" s="20"/>
      <c r="BJ79" s="21"/>
      <c r="BK79" s="22"/>
      <c r="BL79" s="74">
        <f t="shared" si="122"/>
        <v>0</v>
      </c>
      <c r="BM79" s="240">
        <v>1</v>
      </c>
      <c r="BN79" s="241">
        <f t="shared" si="123"/>
        <v>0</v>
      </c>
      <c r="BO79" s="379"/>
      <c r="BP79" s="376"/>
      <c r="BQ79" s="376"/>
      <c r="BR79" s="376"/>
      <c r="BS79" s="376"/>
      <c r="BT79" s="376"/>
      <c r="BU79" s="373"/>
      <c r="BV79" s="241">
        <f t="shared" si="80"/>
        <v>0</v>
      </c>
      <c r="BX79" s="42"/>
      <c r="BY79" s="20"/>
      <c r="BZ79" s="20"/>
      <c r="CA79" s="21"/>
      <c r="CB79" s="22"/>
      <c r="CC79" s="74">
        <f t="shared" si="124"/>
        <v>0</v>
      </c>
      <c r="CD79" s="240">
        <v>1</v>
      </c>
      <c r="CE79" s="241">
        <f t="shared" si="125"/>
        <v>0</v>
      </c>
      <c r="CF79" s="379"/>
      <c r="CG79" s="376"/>
      <c r="CH79" s="376"/>
      <c r="CI79" s="376"/>
      <c r="CJ79" s="376"/>
      <c r="CK79" s="376"/>
      <c r="CL79" s="373"/>
      <c r="CM79" s="241">
        <f t="shared" si="82"/>
        <v>0</v>
      </c>
      <c r="CN79" s="39"/>
      <c r="CO79" s="3"/>
      <c r="CP79" s="76">
        <f t="shared" si="83"/>
        <v>0</v>
      </c>
      <c r="CQ79" s="3"/>
      <c r="CR79" s="76">
        <f t="shared" si="84"/>
        <v>0</v>
      </c>
      <c r="CT79" s="76">
        <f t="shared" si="105"/>
        <v>0</v>
      </c>
    </row>
    <row r="80" spans="1:98" ht="15" customHeight="1" x14ac:dyDescent="0.2">
      <c r="A80" s="389"/>
      <c r="B80" s="395"/>
      <c r="C80" s="234" t="s">
        <v>203</v>
      </c>
      <c r="D80" s="242" t="s">
        <v>418</v>
      </c>
      <c r="E80" s="234" t="s">
        <v>3</v>
      </c>
      <c r="F80" s="301">
        <f>F1*(6.4*(1.014*1.012*1.015)*1.1/1.11)*1.028</f>
        <v>6.9504856617650512</v>
      </c>
      <c r="H80" s="42"/>
      <c r="I80" s="20"/>
      <c r="J80" s="20"/>
      <c r="K80" s="21"/>
      <c r="L80" s="22"/>
      <c r="M80" s="74">
        <f t="shared" si="95"/>
        <v>0</v>
      </c>
      <c r="N80" s="240">
        <v>1</v>
      </c>
      <c r="O80" s="241">
        <f t="shared" si="96"/>
        <v>0</v>
      </c>
      <c r="P80" s="379"/>
      <c r="Q80" s="376"/>
      <c r="R80" s="376"/>
      <c r="S80" s="376"/>
      <c r="T80" s="376"/>
      <c r="U80" s="376"/>
      <c r="V80" s="373"/>
      <c r="W80" s="241">
        <f t="shared" si="74"/>
        <v>0</v>
      </c>
      <c r="Y80" s="42"/>
      <c r="Z80" s="20"/>
      <c r="AA80" s="20"/>
      <c r="AB80" s="21"/>
      <c r="AC80" s="22"/>
      <c r="AD80" s="74">
        <f t="shared" si="97"/>
        <v>0</v>
      </c>
      <c r="AE80" s="240">
        <v>1</v>
      </c>
      <c r="AF80" s="241">
        <f t="shared" si="98"/>
        <v>0</v>
      </c>
      <c r="AG80" s="379"/>
      <c r="AH80" s="376"/>
      <c r="AI80" s="376"/>
      <c r="AJ80" s="376"/>
      <c r="AK80" s="376"/>
      <c r="AL80" s="376"/>
      <c r="AM80" s="373"/>
      <c r="AN80" s="241">
        <f t="shared" si="76"/>
        <v>0</v>
      </c>
      <c r="AP80" s="42"/>
      <c r="AQ80" s="20"/>
      <c r="AR80" s="20"/>
      <c r="AS80" s="21"/>
      <c r="AT80" s="22"/>
      <c r="AU80" s="74">
        <f t="shared" si="99"/>
        <v>0</v>
      </c>
      <c r="AV80" s="240">
        <v>1</v>
      </c>
      <c r="AW80" s="241">
        <f t="shared" si="100"/>
        <v>0</v>
      </c>
      <c r="AX80" s="379"/>
      <c r="AY80" s="376"/>
      <c r="AZ80" s="376"/>
      <c r="BA80" s="376"/>
      <c r="BB80" s="376"/>
      <c r="BC80" s="376"/>
      <c r="BD80" s="373"/>
      <c r="BE80" s="241">
        <f t="shared" si="78"/>
        <v>0</v>
      </c>
      <c r="BG80" s="42"/>
      <c r="BH80" s="20"/>
      <c r="BI80" s="20"/>
      <c r="BJ80" s="21"/>
      <c r="BK80" s="22"/>
      <c r="BL80" s="74">
        <f t="shared" si="101"/>
        <v>0</v>
      </c>
      <c r="BM80" s="240">
        <v>1</v>
      </c>
      <c r="BN80" s="241">
        <f t="shared" si="102"/>
        <v>0</v>
      </c>
      <c r="BO80" s="379"/>
      <c r="BP80" s="376"/>
      <c r="BQ80" s="376"/>
      <c r="BR80" s="376"/>
      <c r="BS80" s="376"/>
      <c r="BT80" s="376"/>
      <c r="BU80" s="373"/>
      <c r="BV80" s="241">
        <f t="shared" si="80"/>
        <v>0</v>
      </c>
      <c r="BX80" s="42"/>
      <c r="BY80" s="20"/>
      <c r="BZ80" s="20"/>
      <c r="CA80" s="21"/>
      <c r="CB80" s="22"/>
      <c r="CC80" s="74">
        <f t="shared" si="103"/>
        <v>0</v>
      </c>
      <c r="CD80" s="240">
        <v>1</v>
      </c>
      <c r="CE80" s="241">
        <f t="shared" si="104"/>
        <v>0</v>
      </c>
      <c r="CF80" s="379"/>
      <c r="CG80" s="376"/>
      <c r="CH80" s="376"/>
      <c r="CI80" s="376"/>
      <c r="CJ80" s="376"/>
      <c r="CK80" s="376"/>
      <c r="CL80" s="373"/>
      <c r="CM80" s="241">
        <f t="shared" si="82"/>
        <v>0</v>
      </c>
      <c r="CN80" s="39"/>
      <c r="CO80" s="3"/>
      <c r="CP80" s="76">
        <f t="shared" si="83"/>
        <v>0</v>
      </c>
      <c r="CQ80" s="3"/>
      <c r="CR80" s="76">
        <f t="shared" si="84"/>
        <v>0</v>
      </c>
      <c r="CT80" s="76">
        <f t="shared" si="105"/>
        <v>0</v>
      </c>
    </row>
    <row r="81" spans="1:98" ht="15" customHeight="1" x14ac:dyDescent="0.2">
      <c r="A81" s="389"/>
      <c r="B81" s="395"/>
      <c r="C81" s="234" t="s">
        <v>204</v>
      </c>
      <c r="D81" s="242" t="s">
        <v>419</v>
      </c>
      <c r="E81" s="234" t="s">
        <v>3</v>
      </c>
      <c r="F81" s="301">
        <f>F1*(18.8*(1.014*1.012*1.015)*1.1/1.11)*1.028</f>
        <v>20.417051631434838</v>
      </c>
      <c r="H81" s="42"/>
      <c r="I81" s="20"/>
      <c r="J81" s="20"/>
      <c r="K81" s="21"/>
      <c r="L81" s="22"/>
      <c r="M81" s="74">
        <f t="shared" si="95"/>
        <v>0</v>
      </c>
      <c r="N81" s="240">
        <v>1</v>
      </c>
      <c r="O81" s="241">
        <f t="shared" si="96"/>
        <v>0</v>
      </c>
      <c r="P81" s="379"/>
      <c r="Q81" s="376"/>
      <c r="R81" s="376"/>
      <c r="S81" s="376"/>
      <c r="T81" s="376"/>
      <c r="U81" s="376"/>
      <c r="V81" s="373"/>
      <c r="W81" s="241">
        <f t="shared" si="74"/>
        <v>0</v>
      </c>
      <c r="Y81" s="42"/>
      <c r="Z81" s="20"/>
      <c r="AA81" s="20"/>
      <c r="AB81" s="21"/>
      <c r="AC81" s="22"/>
      <c r="AD81" s="74">
        <f t="shared" si="97"/>
        <v>0</v>
      </c>
      <c r="AE81" s="240">
        <v>1</v>
      </c>
      <c r="AF81" s="241">
        <f t="shared" si="98"/>
        <v>0</v>
      </c>
      <c r="AG81" s="379"/>
      <c r="AH81" s="376"/>
      <c r="AI81" s="376"/>
      <c r="AJ81" s="376"/>
      <c r="AK81" s="376"/>
      <c r="AL81" s="376"/>
      <c r="AM81" s="373"/>
      <c r="AN81" s="241">
        <f t="shared" si="76"/>
        <v>0</v>
      </c>
      <c r="AP81" s="42"/>
      <c r="AQ81" s="20"/>
      <c r="AR81" s="20"/>
      <c r="AS81" s="21"/>
      <c r="AT81" s="22"/>
      <c r="AU81" s="74">
        <f t="shared" si="99"/>
        <v>0</v>
      </c>
      <c r="AV81" s="240">
        <v>1</v>
      </c>
      <c r="AW81" s="241">
        <f t="shared" si="100"/>
        <v>0</v>
      </c>
      <c r="AX81" s="379"/>
      <c r="AY81" s="376"/>
      <c r="AZ81" s="376"/>
      <c r="BA81" s="376"/>
      <c r="BB81" s="376"/>
      <c r="BC81" s="376"/>
      <c r="BD81" s="373"/>
      <c r="BE81" s="241">
        <f t="shared" si="78"/>
        <v>0</v>
      </c>
      <c r="BG81" s="42"/>
      <c r="BH81" s="20"/>
      <c r="BI81" s="20"/>
      <c r="BJ81" s="21"/>
      <c r="BK81" s="22"/>
      <c r="BL81" s="74">
        <f t="shared" si="101"/>
        <v>0</v>
      </c>
      <c r="BM81" s="240">
        <v>1</v>
      </c>
      <c r="BN81" s="241">
        <f t="shared" si="102"/>
        <v>0</v>
      </c>
      <c r="BO81" s="379"/>
      <c r="BP81" s="376"/>
      <c r="BQ81" s="376"/>
      <c r="BR81" s="376"/>
      <c r="BS81" s="376"/>
      <c r="BT81" s="376"/>
      <c r="BU81" s="373"/>
      <c r="BV81" s="241">
        <f t="shared" si="80"/>
        <v>0</v>
      </c>
      <c r="BX81" s="42"/>
      <c r="BY81" s="20"/>
      <c r="BZ81" s="20"/>
      <c r="CA81" s="21"/>
      <c r="CB81" s="22"/>
      <c r="CC81" s="74">
        <f t="shared" si="103"/>
        <v>0</v>
      </c>
      <c r="CD81" s="240">
        <v>1</v>
      </c>
      <c r="CE81" s="241">
        <f t="shared" si="104"/>
        <v>0</v>
      </c>
      <c r="CF81" s="379"/>
      <c r="CG81" s="376"/>
      <c r="CH81" s="376"/>
      <c r="CI81" s="376"/>
      <c r="CJ81" s="376"/>
      <c r="CK81" s="376"/>
      <c r="CL81" s="373"/>
      <c r="CM81" s="241">
        <f t="shared" si="82"/>
        <v>0</v>
      </c>
      <c r="CN81" s="39"/>
      <c r="CO81" s="3"/>
      <c r="CP81" s="76">
        <f t="shared" si="83"/>
        <v>0</v>
      </c>
      <c r="CQ81" s="3"/>
      <c r="CR81" s="76">
        <f t="shared" si="84"/>
        <v>0</v>
      </c>
      <c r="CT81" s="76">
        <f t="shared" si="105"/>
        <v>0</v>
      </c>
    </row>
    <row r="82" spans="1:98" ht="15" customHeight="1" x14ac:dyDescent="0.2">
      <c r="A82" s="389"/>
      <c r="B82" s="395"/>
      <c r="C82" s="234" t="s">
        <v>205</v>
      </c>
      <c r="D82" s="242" t="s">
        <v>420</v>
      </c>
      <c r="E82" s="234" t="s">
        <v>3</v>
      </c>
      <c r="F82" s="301">
        <f>F1*(5.8*(1.014*1.012*1.015)*1.1/1.11)*1.028</f>
        <v>6.2988776309745758</v>
      </c>
      <c r="H82" s="42"/>
      <c r="I82" s="20"/>
      <c r="J82" s="20"/>
      <c r="K82" s="21"/>
      <c r="L82" s="22"/>
      <c r="M82" s="74">
        <f t="shared" ref="M82:M83" si="126">SUM(H82:L82)</f>
        <v>0</v>
      </c>
      <c r="N82" s="240">
        <v>1</v>
      </c>
      <c r="O82" s="241">
        <f t="shared" ref="O82:O83" si="127">M82*$F82*N82</f>
        <v>0</v>
      </c>
      <c r="P82" s="379"/>
      <c r="Q82" s="376"/>
      <c r="R82" s="376"/>
      <c r="S82" s="376"/>
      <c r="T82" s="376"/>
      <c r="U82" s="376"/>
      <c r="V82" s="373"/>
      <c r="W82" s="241">
        <f t="shared" si="74"/>
        <v>0</v>
      </c>
      <c r="Y82" s="42"/>
      <c r="Z82" s="20"/>
      <c r="AA82" s="20"/>
      <c r="AB82" s="21"/>
      <c r="AC82" s="22"/>
      <c r="AD82" s="74">
        <f t="shared" ref="AD82:AD83" si="128">SUM(Y82:AC82)</f>
        <v>0</v>
      </c>
      <c r="AE82" s="240">
        <v>1</v>
      </c>
      <c r="AF82" s="241">
        <f t="shared" ref="AF82:AF83" si="129">AD82*$F82*AE82</f>
        <v>0</v>
      </c>
      <c r="AG82" s="379"/>
      <c r="AH82" s="376"/>
      <c r="AI82" s="376"/>
      <c r="AJ82" s="376"/>
      <c r="AK82" s="376"/>
      <c r="AL82" s="376"/>
      <c r="AM82" s="373"/>
      <c r="AN82" s="241">
        <f t="shared" si="76"/>
        <v>0</v>
      </c>
      <c r="AP82" s="42"/>
      <c r="AQ82" s="20"/>
      <c r="AR82" s="20"/>
      <c r="AS82" s="21"/>
      <c r="AT82" s="22"/>
      <c r="AU82" s="74">
        <f t="shared" ref="AU82:AU83" si="130">SUM(AP82:AT82)</f>
        <v>0</v>
      </c>
      <c r="AV82" s="240">
        <v>1</v>
      </c>
      <c r="AW82" s="241">
        <f t="shared" ref="AW82:AW83" si="131">AU82*$F82*AV82</f>
        <v>0</v>
      </c>
      <c r="AX82" s="379"/>
      <c r="AY82" s="376"/>
      <c r="AZ82" s="376"/>
      <c r="BA82" s="376"/>
      <c r="BB82" s="376"/>
      <c r="BC82" s="376"/>
      <c r="BD82" s="373"/>
      <c r="BE82" s="241">
        <f t="shared" si="78"/>
        <v>0</v>
      </c>
      <c r="BG82" s="42"/>
      <c r="BH82" s="20"/>
      <c r="BI82" s="20"/>
      <c r="BJ82" s="21"/>
      <c r="BK82" s="22"/>
      <c r="BL82" s="74">
        <f t="shared" ref="BL82:BL83" si="132">SUM(BG82:BK82)</f>
        <v>0</v>
      </c>
      <c r="BM82" s="240">
        <v>1</v>
      </c>
      <c r="BN82" s="241">
        <f t="shared" ref="BN82:BN83" si="133">BL82*$F82*BM82</f>
        <v>0</v>
      </c>
      <c r="BO82" s="379"/>
      <c r="BP82" s="376"/>
      <c r="BQ82" s="376"/>
      <c r="BR82" s="376"/>
      <c r="BS82" s="376"/>
      <c r="BT82" s="376"/>
      <c r="BU82" s="373"/>
      <c r="BV82" s="241">
        <f t="shared" si="80"/>
        <v>0</v>
      </c>
      <c r="BX82" s="42"/>
      <c r="BY82" s="20"/>
      <c r="BZ82" s="20"/>
      <c r="CA82" s="21"/>
      <c r="CB82" s="22"/>
      <c r="CC82" s="74">
        <f t="shared" ref="CC82:CC83" si="134">SUM(BX82:CB82)</f>
        <v>0</v>
      </c>
      <c r="CD82" s="240">
        <v>1</v>
      </c>
      <c r="CE82" s="241">
        <f t="shared" ref="CE82:CE83" si="135">CC82*$F82*CD82</f>
        <v>0</v>
      </c>
      <c r="CF82" s="379"/>
      <c r="CG82" s="376"/>
      <c r="CH82" s="376"/>
      <c r="CI82" s="376"/>
      <c r="CJ82" s="376"/>
      <c r="CK82" s="376"/>
      <c r="CL82" s="373"/>
      <c r="CM82" s="241">
        <f t="shared" si="82"/>
        <v>0</v>
      </c>
      <c r="CN82" s="39"/>
      <c r="CO82" s="3"/>
      <c r="CP82" s="76">
        <f t="shared" si="83"/>
        <v>0</v>
      </c>
      <c r="CQ82" s="3"/>
      <c r="CR82" s="76">
        <f t="shared" si="84"/>
        <v>0</v>
      </c>
      <c r="CT82" s="76">
        <f t="shared" si="105"/>
        <v>0</v>
      </c>
    </row>
    <row r="83" spans="1:98" ht="15" customHeight="1" x14ac:dyDescent="0.2">
      <c r="A83" s="389"/>
      <c r="B83" s="395"/>
      <c r="C83" s="234" t="s">
        <v>387</v>
      </c>
      <c r="D83" s="242" t="s">
        <v>421</v>
      </c>
      <c r="E83" s="234" t="s">
        <v>3</v>
      </c>
      <c r="F83" s="301">
        <f>F1*(4.65*(1.014*1.012*1.015)*1.1/1.11)*1.028</f>
        <v>5.0499622386261693</v>
      </c>
      <c r="H83" s="42"/>
      <c r="I83" s="20"/>
      <c r="J83" s="20"/>
      <c r="K83" s="21"/>
      <c r="L83" s="22"/>
      <c r="M83" s="74">
        <f t="shared" si="126"/>
        <v>0</v>
      </c>
      <c r="N83" s="240">
        <v>1</v>
      </c>
      <c r="O83" s="241">
        <f t="shared" si="127"/>
        <v>0</v>
      </c>
      <c r="P83" s="379"/>
      <c r="Q83" s="376"/>
      <c r="R83" s="376"/>
      <c r="S83" s="376"/>
      <c r="T83" s="376"/>
      <c r="U83" s="376"/>
      <c r="V83" s="373"/>
      <c r="W83" s="241">
        <f t="shared" si="74"/>
        <v>0</v>
      </c>
      <c r="Y83" s="42">
        <v>1</v>
      </c>
      <c r="Z83" s="20"/>
      <c r="AA83" s="20"/>
      <c r="AB83" s="21"/>
      <c r="AC83" s="22"/>
      <c r="AD83" s="74">
        <f t="shared" si="128"/>
        <v>1</v>
      </c>
      <c r="AE83" s="240">
        <v>1</v>
      </c>
      <c r="AF83" s="241">
        <f t="shared" si="129"/>
        <v>5.0499622386261693</v>
      </c>
      <c r="AG83" s="379"/>
      <c r="AH83" s="376"/>
      <c r="AI83" s="376"/>
      <c r="AJ83" s="376"/>
      <c r="AK83" s="376"/>
      <c r="AL83" s="376"/>
      <c r="AM83" s="373"/>
      <c r="AN83" s="241">
        <f t="shared" si="76"/>
        <v>6.1233084826198665</v>
      </c>
      <c r="AP83" s="42"/>
      <c r="AQ83" s="20"/>
      <c r="AR83" s="20"/>
      <c r="AS83" s="21"/>
      <c r="AT83" s="22"/>
      <c r="AU83" s="74">
        <f t="shared" si="130"/>
        <v>0</v>
      </c>
      <c r="AV83" s="240">
        <v>1</v>
      </c>
      <c r="AW83" s="241">
        <f t="shared" si="131"/>
        <v>0</v>
      </c>
      <c r="AX83" s="379"/>
      <c r="AY83" s="376"/>
      <c r="AZ83" s="376"/>
      <c r="BA83" s="376"/>
      <c r="BB83" s="376"/>
      <c r="BC83" s="376"/>
      <c r="BD83" s="373"/>
      <c r="BE83" s="241">
        <f t="shared" si="78"/>
        <v>0</v>
      </c>
      <c r="BG83" s="42"/>
      <c r="BH83" s="20"/>
      <c r="BI83" s="20"/>
      <c r="BJ83" s="21"/>
      <c r="BK83" s="22"/>
      <c r="BL83" s="74">
        <f t="shared" si="132"/>
        <v>0</v>
      </c>
      <c r="BM83" s="240">
        <v>1</v>
      </c>
      <c r="BN83" s="241">
        <f t="shared" si="133"/>
        <v>0</v>
      </c>
      <c r="BO83" s="379"/>
      <c r="BP83" s="376"/>
      <c r="BQ83" s="376"/>
      <c r="BR83" s="376"/>
      <c r="BS83" s="376"/>
      <c r="BT83" s="376"/>
      <c r="BU83" s="373"/>
      <c r="BV83" s="241">
        <f t="shared" si="80"/>
        <v>0</v>
      </c>
      <c r="BX83" s="42"/>
      <c r="BY83" s="20"/>
      <c r="BZ83" s="20"/>
      <c r="CA83" s="21"/>
      <c r="CB83" s="22"/>
      <c r="CC83" s="74">
        <f t="shared" si="134"/>
        <v>0</v>
      </c>
      <c r="CD83" s="240">
        <v>1</v>
      </c>
      <c r="CE83" s="241">
        <f t="shared" si="135"/>
        <v>0</v>
      </c>
      <c r="CF83" s="379"/>
      <c r="CG83" s="376"/>
      <c r="CH83" s="376"/>
      <c r="CI83" s="376"/>
      <c r="CJ83" s="376"/>
      <c r="CK83" s="376"/>
      <c r="CL83" s="373"/>
      <c r="CM83" s="241">
        <f t="shared" si="82"/>
        <v>0</v>
      </c>
      <c r="CN83" s="39"/>
      <c r="CO83" s="3"/>
      <c r="CP83" s="76">
        <f t="shared" si="83"/>
        <v>5.0499622386261693</v>
      </c>
      <c r="CQ83" s="3"/>
      <c r="CR83" s="76">
        <f t="shared" si="84"/>
        <v>6.1233084826198665</v>
      </c>
      <c r="CT83" s="76">
        <f t="shared" si="105"/>
        <v>1</v>
      </c>
    </row>
    <row r="84" spans="1:98" ht="15" customHeight="1" x14ac:dyDescent="0.2">
      <c r="A84" s="389"/>
      <c r="B84" s="395"/>
      <c r="C84" s="234" t="s">
        <v>451</v>
      </c>
      <c r="D84" s="242" t="s">
        <v>422</v>
      </c>
      <c r="E84" s="234" t="s">
        <v>3</v>
      </c>
      <c r="F84" s="301">
        <f>F1*(3.4*(1.014*1.012*1.015)*1.1/1.11)*1.028</f>
        <v>3.6924455078126828</v>
      </c>
      <c r="H84" s="93"/>
      <c r="I84" s="20"/>
      <c r="J84" s="20"/>
      <c r="K84" s="21"/>
      <c r="L84" s="22"/>
      <c r="M84" s="74">
        <f t="shared" si="95"/>
        <v>0</v>
      </c>
      <c r="N84" s="240">
        <v>1</v>
      </c>
      <c r="O84" s="241">
        <f t="shared" si="96"/>
        <v>0</v>
      </c>
      <c r="P84" s="379"/>
      <c r="Q84" s="376"/>
      <c r="R84" s="376"/>
      <c r="S84" s="376"/>
      <c r="T84" s="376"/>
      <c r="U84" s="376"/>
      <c r="V84" s="373"/>
      <c r="W84" s="241">
        <f t="shared" si="74"/>
        <v>0</v>
      </c>
      <c r="Y84" s="93"/>
      <c r="Z84" s="20"/>
      <c r="AA84" s="20"/>
      <c r="AB84" s="21"/>
      <c r="AC84" s="22"/>
      <c r="AD84" s="74">
        <f t="shared" si="97"/>
        <v>0</v>
      </c>
      <c r="AE84" s="240">
        <v>1</v>
      </c>
      <c r="AF84" s="241">
        <f t="shared" si="98"/>
        <v>0</v>
      </c>
      <c r="AG84" s="379"/>
      <c r="AH84" s="376"/>
      <c r="AI84" s="376"/>
      <c r="AJ84" s="376"/>
      <c r="AK84" s="376"/>
      <c r="AL84" s="376"/>
      <c r="AM84" s="373"/>
      <c r="AN84" s="241">
        <f t="shared" si="76"/>
        <v>0</v>
      </c>
      <c r="AP84" s="93"/>
      <c r="AQ84" s="20"/>
      <c r="AR84" s="20"/>
      <c r="AS84" s="21"/>
      <c r="AT84" s="22"/>
      <c r="AU84" s="74">
        <f t="shared" si="99"/>
        <v>0</v>
      </c>
      <c r="AV84" s="240">
        <v>1</v>
      </c>
      <c r="AW84" s="241">
        <f t="shared" si="100"/>
        <v>0</v>
      </c>
      <c r="AX84" s="379"/>
      <c r="AY84" s="376"/>
      <c r="AZ84" s="376"/>
      <c r="BA84" s="376"/>
      <c r="BB84" s="376"/>
      <c r="BC84" s="376"/>
      <c r="BD84" s="373"/>
      <c r="BE84" s="241">
        <f t="shared" si="78"/>
        <v>0</v>
      </c>
      <c r="BG84" s="93"/>
      <c r="BH84" s="20"/>
      <c r="BI84" s="20"/>
      <c r="BJ84" s="21"/>
      <c r="BK84" s="22"/>
      <c r="BL84" s="74">
        <f t="shared" si="101"/>
        <v>0</v>
      </c>
      <c r="BM84" s="240">
        <v>1</v>
      </c>
      <c r="BN84" s="241">
        <f t="shared" si="102"/>
        <v>0</v>
      </c>
      <c r="BO84" s="379"/>
      <c r="BP84" s="376"/>
      <c r="BQ84" s="376"/>
      <c r="BR84" s="376"/>
      <c r="BS84" s="376"/>
      <c r="BT84" s="376"/>
      <c r="BU84" s="373"/>
      <c r="BV84" s="241">
        <f t="shared" si="80"/>
        <v>0</v>
      </c>
      <c r="BX84" s="93"/>
      <c r="BY84" s="20"/>
      <c r="BZ84" s="20"/>
      <c r="CA84" s="21"/>
      <c r="CB84" s="22"/>
      <c r="CC84" s="74">
        <f t="shared" si="103"/>
        <v>0</v>
      </c>
      <c r="CD84" s="240">
        <v>1</v>
      </c>
      <c r="CE84" s="241">
        <f t="shared" si="104"/>
        <v>0</v>
      </c>
      <c r="CF84" s="379"/>
      <c r="CG84" s="376"/>
      <c r="CH84" s="376"/>
      <c r="CI84" s="376"/>
      <c r="CJ84" s="376"/>
      <c r="CK84" s="376"/>
      <c r="CL84" s="373"/>
      <c r="CM84" s="241">
        <f t="shared" si="82"/>
        <v>0</v>
      </c>
      <c r="CN84" s="39"/>
      <c r="CO84" s="3"/>
      <c r="CP84" s="76">
        <f t="shared" si="83"/>
        <v>0</v>
      </c>
      <c r="CQ84" s="3"/>
      <c r="CR84" s="76">
        <f t="shared" si="84"/>
        <v>0</v>
      </c>
      <c r="CT84" s="76">
        <f t="shared" si="105"/>
        <v>0</v>
      </c>
    </row>
    <row r="85" spans="1:98" ht="15" customHeight="1" x14ac:dyDescent="0.2">
      <c r="A85" s="389"/>
      <c r="B85" s="395"/>
      <c r="C85" s="234" t="s">
        <v>452</v>
      </c>
      <c r="D85" s="242" t="s">
        <v>423</v>
      </c>
      <c r="E85" s="234" t="s">
        <v>3</v>
      </c>
      <c r="F85" s="301">
        <f>F1*(2.5*(1.014*1.012*1.015)*1.1/1.11)*1.028</f>
        <v>2.7150334616269727</v>
      </c>
      <c r="H85" s="93"/>
      <c r="I85" s="23"/>
      <c r="J85" s="23"/>
      <c r="K85" s="24"/>
      <c r="L85" s="25"/>
      <c r="M85" s="74">
        <f t="shared" si="95"/>
        <v>0</v>
      </c>
      <c r="N85" s="240">
        <v>1</v>
      </c>
      <c r="O85" s="241">
        <f t="shared" si="96"/>
        <v>0</v>
      </c>
      <c r="P85" s="379"/>
      <c r="Q85" s="376"/>
      <c r="R85" s="376"/>
      <c r="S85" s="376"/>
      <c r="T85" s="376"/>
      <c r="U85" s="376"/>
      <c r="V85" s="373"/>
      <c r="W85" s="241">
        <f t="shared" si="74"/>
        <v>0</v>
      </c>
      <c r="Y85" s="42">
        <v>12</v>
      </c>
      <c r="Z85" s="23"/>
      <c r="AA85" s="23"/>
      <c r="AB85" s="24"/>
      <c r="AC85" s="25"/>
      <c r="AD85" s="74">
        <f t="shared" si="97"/>
        <v>12</v>
      </c>
      <c r="AE85" s="240">
        <v>1</v>
      </c>
      <c r="AF85" s="241">
        <f t="shared" si="98"/>
        <v>32.58040153952367</v>
      </c>
      <c r="AG85" s="379"/>
      <c r="AH85" s="376"/>
      <c r="AI85" s="376"/>
      <c r="AJ85" s="376"/>
      <c r="AK85" s="376"/>
      <c r="AL85" s="376"/>
      <c r="AM85" s="373"/>
      <c r="AN85" s="241">
        <f t="shared" si="76"/>
        <v>39.505216016902359</v>
      </c>
      <c r="AP85" s="93"/>
      <c r="AQ85" s="23"/>
      <c r="AR85" s="23"/>
      <c r="AS85" s="24"/>
      <c r="AT85" s="25"/>
      <c r="AU85" s="74">
        <f t="shared" si="99"/>
        <v>0</v>
      </c>
      <c r="AV85" s="240">
        <v>1</v>
      </c>
      <c r="AW85" s="241">
        <f t="shared" si="100"/>
        <v>0</v>
      </c>
      <c r="AX85" s="379"/>
      <c r="AY85" s="376"/>
      <c r="AZ85" s="376"/>
      <c r="BA85" s="376"/>
      <c r="BB85" s="376"/>
      <c r="BC85" s="376"/>
      <c r="BD85" s="373"/>
      <c r="BE85" s="241">
        <f t="shared" si="78"/>
        <v>0</v>
      </c>
      <c r="BG85" s="93"/>
      <c r="BH85" s="23"/>
      <c r="BI85" s="23"/>
      <c r="BJ85" s="24"/>
      <c r="BK85" s="25"/>
      <c r="BL85" s="74">
        <f t="shared" si="101"/>
        <v>0</v>
      </c>
      <c r="BM85" s="240">
        <v>1</v>
      </c>
      <c r="BN85" s="241">
        <f t="shared" si="102"/>
        <v>0</v>
      </c>
      <c r="BO85" s="379"/>
      <c r="BP85" s="376"/>
      <c r="BQ85" s="376"/>
      <c r="BR85" s="376"/>
      <c r="BS85" s="376"/>
      <c r="BT85" s="376"/>
      <c r="BU85" s="373"/>
      <c r="BV85" s="241">
        <f t="shared" si="80"/>
        <v>0</v>
      </c>
      <c r="BX85" s="93"/>
      <c r="BY85" s="23"/>
      <c r="BZ85" s="23"/>
      <c r="CA85" s="24"/>
      <c r="CB85" s="25"/>
      <c r="CC85" s="74">
        <f t="shared" si="103"/>
        <v>0</v>
      </c>
      <c r="CD85" s="240">
        <v>1</v>
      </c>
      <c r="CE85" s="241">
        <f t="shared" si="104"/>
        <v>0</v>
      </c>
      <c r="CF85" s="379"/>
      <c r="CG85" s="376"/>
      <c r="CH85" s="376"/>
      <c r="CI85" s="376"/>
      <c r="CJ85" s="376"/>
      <c r="CK85" s="376"/>
      <c r="CL85" s="373"/>
      <c r="CM85" s="241">
        <f t="shared" si="82"/>
        <v>0</v>
      </c>
      <c r="CN85" s="39"/>
      <c r="CO85" s="3"/>
      <c r="CP85" s="76">
        <f t="shared" si="83"/>
        <v>32.58040153952367</v>
      </c>
      <c r="CQ85" s="3"/>
      <c r="CR85" s="76">
        <f t="shared" si="84"/>
        <v>39.505216016902359</v>
      </c>
      <c r="CT85" s="76">
        <f t="shared" si="105"/>
        <v>12</v>
      </c>
    </row>
    <row r="86" spans="1:98" ht="15" customHeight="1" x14ac:dyDescent="0.2">
      <c r="A86" s="389"/>
      <c r="B86" s="395"/>
      <c r="C86" s="234" t="s">
        <v>453</v>
      </c>
      <c r="D86" s="242" t="s">
        <v>424</v>
      </c>
      <c r="E86" s="234" t="s">
        <v>3</v>
      </c>
      <c r="F86" s="301">
        <f>F1*(2.5*(1.014*1.012*1.015)*1.1/1.11)*1.028</f>
        <v>2.7150334616269727</v>
      </c>
      <c r="H86" s="93"/>
      <c r="I86" s="23"/>
      <c r="J86" s="23"/>
      <c r="K86" s="24"/>
      <c r="L86" s="25"/>
      <c r="M86" s="74">
        <f t="shared" si="95"/>
        <v>0</v>
      </c>
      <c r="N86" s="240">
        <v>1</v>
      </c>
      <c r="O86" s="241">
        <f t="shared" si="96"/>
        <v>0</v>
      </c>
      <c r="P86" s="379"/>
      <c r="Q86" s="376"/>
      <c r="R86" s="376"/>
      <c r="S86" s="376"/>
      <c r="T86" s="376"/>
      <c r="U86" s="376"/>
      <c r="V86" s="373"/>
      <c r="W86" s="241">
        <f t="shared" si="74"/>
        <v>0</v>
      </c>
      <c r="Y86" s="42">
        <v>5</v>
      </c>
      <c r="Z86" s="23"/>
      <c r="AA86" s="23"/>
      <c r="AB86" s="24"/>
      <c r="AC86" s="25"/>
      <c r="AD86" s="74">
        <f t="shared" si="97"/>
        <v>5</v>
      </c>
      <c r="AE86" s="240">
        <v>1</v>
      </c>
      <c r="AF86" s="241">
        <f t="shared" si="98"/>
        <v>13.575167308134864</v>
      </c>
      <c r="AG86" s="379"/>
      <c r="AH86" s="376"/>
      <c r="AI86" s="376"/>
      <c r="AJ86" s="376"/>
      <c r="AK86" s="376"/>
      <c r="AL86" s="376"/>
      <c r="AM86" s="373"/>
      <c r="AN86" s="241">
        <f t="shared" si="76"/>
        <v>16.460506673709318</v>
      </c>
      <c r="AP86" s="93"/>
      <c r="AQ86" s="23"/>
      <c r="AR86" s="23"/>
      <c r="AS86" s="24"/>
      <c r="AT86" s="25"/>
      <c r="AU86" s="74">
        <f t="shared" si="99"/>
        <v>0</v>
      </c>
      <c r="AV86" s="240">
        <v>1</v>
      </c>
      <c r="AW86" s="241">
        <f t="shared" si="100"/>
        <v>0</v>
      </c>
      <c r="AX86" s="379"/>
      <c r="AY86" s="376"/>
      <c r="AZ86" s="376"/>
      <c r="BA86" s="376"/>
      <c r="BB86" s="376"/>
      <c r="BC86" s="376"/>
      <c r="BD86" s="373"/>
      <c r="BE86" s="241">
        <f t="shared" si="78"/>
        <v>0</v>
      </c>
      <c r="BG86" s="93"/>
      <c r="BH86" s="23"/>
      <c r="BI86" s="23"/>
      <c r="BJ86" s="24"/>
      <c r="BK86" s="25"/>
      <c r="BL86" s="74">
        <f t="shared" si="101"/>
        <v>0</v>
      </c>
      <c r="BM86" s="240">
        <v>1</v>
      </c>
      <c r="BN86" s="241">
        <f t="shared" si="102"/>
        <v>0</v>
      </c>
      <c r="BO86" s="379"/>
      <c r="BP86" s="376"/>
      <c r="BQ86" s="376"/>
      <c r="BR86" s="376"/>
      <c r="BS86" s="376"/>
      <c r="BT86" s="376"/>
      <c r="BU86" s="373"/>
      <c r="BV86" s="241">
        <f t="shared" si="80"/>
        <v>0</v>
      </c>
      <c r="BX86" s="93"/>
      <c r="BY86" s="23"/>
      <c r="BZ86" s="23"/>
      <c r="CA86" s="24"/>
      <c r="CB86" s="25"/>
      <c r="CC86" s="74">
        <f t="shared" si="103"/>
        <v>0</v>
      </c>
      <c r="CD86" s="240">
        <v>1</v>
      </c>
      <c r="CE86" s="241">
        <f t="shared" si="104"/>
        <v>0</v>
      </c>
      <c r="CF86" s="379"/>
      <c r="CG86" s="376"/>
      <c r="CH86" s="376"/>
      <c r="CI86" s="376"/>
      <c r="CJ86" s="376"/>
      <c r="CK86" s="376"/>
      <c r="CL86" s="373"/>
      <c r="CM86" s="241">
        <f t="shared" si="82"/>
        <v>0</v>
      </c>
      <c r="CN86" s="39"/>
      <c r="CO86" s="3"/>
      <c r="CP86" s="76">
        <f t="shared" si="83"/>
        <v>13.575167308134864</v>
      </c>
      <c r="CQ86" s="3"/>
      <c r="CR86" s="76">
        <f t="shared" si="84"/>
        <v>16.460506673709318</v>
      </c>
      <c r="CT86" s="76">
        <f t="shared" si="105"/>
        <v>5</v>
      </c>
    </row>
    <row r="87" spans="1:98" ht="15" customHeight="1" x14ac:dyDescent="0.2">
      <c r="A87" s="389"/>
      <c r="B87" s="395"/>
      <c r="C87" s="234" t="s">
        <v>470</v>
      </c>
      <c r="D87" s="242" t="s">
        <v>425</v>
      </c>
      <c r="E87" s="234" t="s">
        <v>3</v>
      </c>
      <c r="F87" s="301">
        <f>F1*(2*(1.014*1.012*1.015)*1.1/1.11)*1.028</f>
        <v>2.1720267693015778</v>
      </c>
      <c r="H87" s="93"/>
      <c r="I87" s="23"/>
      <c r="J87" s="23"/>
      <c r="K87" s="24"/>
      <c r="L87" s="25"/>
      <c r="M87" s="74">
        <f t="shared" si="95"/>
        <v>0</v>
      </c>
      <c r="N87" s="240">
        <v>1</v>
      </c>
      <c r="O87" s="241">
        <f t="shared" si="96"/>
        <v>0</v>
      </c>
      <c r="P87" s="379"/>
      <c r="Q87" s="376"/>
      <c r="R87" s="376"/>
      <c r="S87" s="376"/>
      <c r="T87" s="376"/>
      <c r="U87" s="376"/>
      <c r="V87" s="373"/>
      <c r="W87" s="241">
        <f t="shared" si="74"/>
        <v>0</v>
      </c>
      <c r="Y87" s="42"/>
      <c r="Z87" s="23"/>
      <c r="AA87" s="23"/>
      <c r="AB87" s="24"/>
      <c r="AC87" s="25"/>
      <c r="AD87" s="74">
        <f t="shared" si="97"/>
        <v>0</v>
      </c>
      <c r="AE87" s="240">
        <v>1</v>
      </c>
      <c r="AF87" s="241">
        <f t="shared" si="98"/>
        <v>0</v>
      </c>
      <c r="AG87" s="379"/>
      <c r="AH87" s="376"/>
      <c r="AI87" s="376"/>
      <c r="AJ87" s="376"/>
      <c r="AK87" s="376"/>
      <c r="AL87" s="376"/>
      <c r="AM87" s="373"/>
      <c r="AN87" s="241">
        <f t="shared" si="76"/>
        <v>0</v>
      </c>
      <c r="AP87" s="93"/>
      <c r="AQ87" s="23"/>
      <c r="AR87" s="23"/>
      <c r="AS87" s="24"/>
      <c r="AT87" s="25"/>
      <c r="AU87" s="74">
        <f t="shared" si="99"/>
        <v>0</v>
      </c>
      <c r="AV87" s="240">
        <v>1</v>
      </c>
      <c r="AW87" s="241">
        <f t="shared" si="100"/>
        <v>0</v>
      </c>
      <c r="AX87" s="379"/>
      <c r="AY87" s="376"/>
      <c r="AZ87" s="376"/>
      <c r="BA87" s="376"/>
      <c r="BB87" s="376"/>
      <c r="BC87" s="376"/>
      <c r="BD87" s="373"/>
      <c r="BE87" s="241">
        <f t="shared" si="78"/>
        <v>0</v>
      </c>
      <c r="BG87" s="93"/>
      <c r="BH87" s="23"/>
      <c r="BI87" s="23"/>
      <c r="BJ87" s="24"/>
      <c r="BK87" s="25"/>
      <c r="BL87" s="74">
        <f t="shared" si="101"/>
        <v>0</v>
      </c>
      <c r="BM87" s="240">
        <v>1</v>
      </c>
      <c r="BN87" s="241">
        <f t="shared" si="102"/>
        <v>0</v>
      </c>
      <c r="BO87" s="379"/>
      <c r="BP87" s="376"/>
      <c r="BQ87" s="376"/>
      <c r="BR87" s="376"/>
      <c r="BS87" s="376"/>
      <c r="BT87" s="376"/>
      <c r="BU87" s="373"/>
      <c r="BV87" s="241">
        <f t="shared" si="80"/>
        <v>0</v>
      </c>
      <c r="BX87" s="93"/>
      <c r="BY87" s="23"/>
      <c r="BZ87" s="23"/>
      <c r="CA87" s="24"/>
      <c r="CB87" s="25"/>
      <c r="CC87" s="74">
        <f t="shared" si="103"/>
        <v>0</v>
      </c>
      <c r="CD87" s="240">
        <v>1</v>
      </c>
      <c r="CE87" s="241">
        <f t="shared" si="104"/>
        <v>0</v>
      </c>
      <c r="CF87" s="379"/>
      <c r="CG87" s="376"/>
      <c r="CH87" s="376"/>
      <c r="CI87" s="376"/>
      <c r="CJ87" s="376"/>
      <c r="CK87" s="376"/>
      <c r="CL87" s="373"/>
      <c r="CM87" s="241">
        <f t="shared" si="82"/>
        <v>0</v>
      </c>
      <c r="CN87" s="39"/>
      <c r="CO87" s="3"/>
      <c r="CP87" s="76">
        <f t="shared" si="83"/>
        <v>0</v>
      </c>
      <c r="CQ87" s="3"/>
      <c r="CR87" s="76">
        <f t="shared" si="84"/>
        <v>0</v>
      </c>
      <c r="CT87" s="76">
        <f t="shared" si="105"/>
        <v>0</v>
      </c>
    </row>
    <row r="88" spans="1:98" ht="15" customHeight="1" x14ac:dyDescent="0.2">
      <c r="A88" s="389"/>
      <c r="B88" s="395"/>
      <c r="C88" s="234" t="s">
        <v>471</v>
      </c>
      <c r="D88" s="242" t="s">
        <v>426</v>
      </c>
      <c r="E88" s="234" t="s">
        <v>3</v>
      </c>
      <c r="F88" s="301">
        <f>F1*(1.7*(1.014*1.012*1.015)*1.1/1.11)*1.028</f>
        <v>1.8462227539063414</v>
      </c>
      <c r="H88" s="93"/>
      <c r="I88" s="26"/>
      <c r="J88" s="26"/>
      <c r="K88" s="45"/>
      <c r="L88" s="25"/>
      <c r="M88" s="74">
        <f t="shared" si="95"/>
        <v>0</v>
      </c>
      <c r="N88" s="240">
        <v>1</v>
      </c>
      <c r="O88" s="241">
        <f t="shared" si="96"/>
        <v>0</v>
      </c>
      <c r="P88" s="379"/>
      <c r="Q88" s="376"/>
      <c r="R88" s="376"/>
      <c r="S88" s="376"/>
      <c r="T88" s="376"/>
      <c r="U88" s="376"/>
      <c r="V88" s="373"/>
      <c r="W88" s="241">
        <f t="shared" si="74"/>
        <v>0</v>
      </c>
      <c r="Y88" s="42">
        <v>4</v>
      </c>
      <c r="Z88" s="26"/>
      <c r="AA88" s="26"/>
      <c r="AB88" s="45"/>
      <c r="AC88" s="25"/>
      <c r="AD88" s="74">
        <f t="shared" si="97"/>
        <v>4</v>
      </c>
      <c r="AE88" s="240">
        <v>1</v>
      </c>
      <c r="AF88" s="241">
        <f t="shared" si="98"/>
        <v>7.3848910156253655</v>
      </c>
      <c r="AG88" s="379"/>
      <c r="AH88" s="376"/>
      <c r="AI88" s="376"/>
      <c r="AJ88" s="376"/>
      <c r="AK88" s="376"/>
      <c r="AL88" s="376"/>
      <c r="AM88" s="373"/>
      <c r="AN88" s="241">
        <f t="shared" si="76"/>
        <v>8.9545156304978679</v>
      </c>
      <c r="AP88" s="93"/>
      <c r="AQ88" s="26"/>
      <c r="AR88" s="26"/>
      <c r="AS88" s="45"/>
      <c r="AT88" s="25"/>
      <c r="AU88" s="74">
        <f t="shared" si="99"/>
        <v>0</v>
      </c>
      <c r="AV88" s="240">
        <v>1</v>
      </c>
      <c r="AW88" s="241">
        <f t="shared" si="100"/>
        <v>0</v>
      </c>
      <c r="AX88" s="379"/>
      <c r="AY88" s="376"/>
      <c r="AZ88" s="376"/>
      <c r="BA88" s="376"/>
      <c r="BB88" s="376"/>
      <c r="BC88" s="376"/>
      <c r="BD88" s="373"/>
      <c r="BE88" s="241">
        <f t="shared" si="78"/>
        <v>0</v>
      </c>
      <c r="BG88" s="93"/>
      <c r="BH88" s="26"/>
      <c r="BI88" s="26"/>
      <c r="BJ88" s="27"/>
      <c r="BK88" s="25"/>
      <c r="BL88" s="74">
        <f t="shared" si="101"/>
        <v>0</v>
      </c>
      <c r="BM88" s="240">
        <v>1</v>
      </c>
      <c r="BN88" s="241">
        <f t="shared" si="102"/>
        <v>0</v>
      </c>
      <c r="BO88" s="379"/>
      <c r="BP88" s="376"/>
      <c r="BQ88" s="376"/>
      <c r="BR88" s="376"/>
      <c r="BS88" s="376"/>
      <c r="BT88" s="376"/>
      <c r="BU88" s="373"/>
      <c r="BV88" s="241">
        <f t="shared" si="80"/>
        <v>0</v>
      </c>
      <c r="BX88" s="93"/>
      <c r="BY88" s="26"/>
      <c r="BZ88" s="26"/>
      <c r="CA88" s="27"/>
      <c r="CB88" s="25"/>
      <c r="CC88" s="74">
        <f t="shared" si="103"/>
        <v>0</v>
      </c>
      <c r="CD88" s="240">
        <v>1</v>
      </c>
      <c r="CE88" s="241">
        <f t="shared" si="104"/>
        <v>0</v>
      </c>
      <c r="CF88" s="379"/>
      <c r="CG88" s="376"/>
      <c r="CH88" s="376"/>
      <c r="CI88" s="376"/>
      <c r="CJ88" s="376"/>
      <c r="CK88" s="376"/>
      <c r="CL88" s="373"/>
      <c r="CM88" s="241">
        <f t="shared" si="82"/>
        <v>0</v>
      </c>
      <c r="CN88" s="39"/>
      <c r="CO88" s="3"/>
      <c r="CP88" s="76">
        <f t="shared" si="83"/>
        <v>7.3848910156253655</v>
      </c>
      <c r="CQ88" s="3"/>
      <c r="CR88" s="76">
        <f t="shared" si="84"/>
        <v>8.9545156304978679</v>
      </c>
      <c r="CT88" s="76">
        <f t="shared" si="105"/>
        <v>4</v>
      </c>
    </row>
    <row r="89" spans="1:98" ht="15" customHeight="1" x14ac:dyDescent="0.2">
      <c r="A89" s="389"/>
      <c r="B89" s="395"/>
      <c r="C89" s="234" t="s">
        <v>472</v>
      </c>
      <c r="D89" s="242" t="s">
        <v>427</v>
      </c>
      <c r="E89" s="234" t="s">
        <v>3</v>
      </c>
      <c r="F89" s="301">
        <f>F1*(5.7*(1.014*1.012*1.015)*1.1/1.11)*1.028</f>
        <v>6.1902762925094974</v>
      </c>
      <c r="H89" s="44"/>
      <c r="I89" s="26"/>
      <c r="J89" s="26"/>
      <c r="K89" s="45"/>
      <c r="L89" s="25"/>
      <c r="M89" s="74">
        <f t="shared" ref="M89" si="136">SUM(H89:L89)</f>
        <v>0</v>
      </c>
      <c r="N89" s="240">
        <v>1</v>
      </c>
      <c r="O89" s="241">
        <f t="shared" ref="O89" si="137">M89*$F89*N89</f>
        <v>0</v>
      </c>
      <c r="P89" s="379"/>
      <c r="Q89" s="376"/>
      <c r="R89" s="376"/>
      <c r="S89" s="376"/>
      <c r="T89" s="376"/>
      <c r="U89" s="376"/>
      <c r="V89" s="373"/>
      <c r="W89" s="241">
        <f t="shared" si="74"/>
        <v>0</v>
      </c>
      <c r="Y89" s="44"/>
      <c r="Z89" s="26"/>
      <c r="AA89" s="26"/>
      <c r="AB89" s="45"/>
      <c r="AC89" s="25"/>
      <c r="AD89" s="74">
        <f t="shared" ref="AD89" si="138">SUM(Y89:AC89)</f>
        <v>0</v>
      </c>
      <c r="AE89" s="240">
        <v>1</v>
      </c>
      <c r="AF89" s="241">
        <f t="shared" ref="AF89" si="139">AD89*$F89*AE89</f>
        <v>0</v>
      </c>
      <c r="AG89" s="379"/>
      <c r="AH89" s="376"/>
      <c r="AI89" s="376"/>
      <c r="AJ89" s="376"/>
      <c r="AK89" s="376"/>
      <c r="AL89" s="376"/>
      <c r="AM89" s="373"/>
      <c r="AN89" s="241">
        <f t="shared" si="76"/>
        <v>0</v>
      </c>
      <c r="AP89" s="44"/>
      <c r="AQ89" s="26"/>
      <c r="AR89" s="26"/>
      <c r="AS89" s="45"/>
      <c r="AT89" s="25"/>
      <c r="AU89" s="74">
        <f t="shared" ref="AU89" si="140">SUM(AP89:AT89)</f>
        <v>0</v>
      </c>
      <c r="AV89" s="240">
        <v>1</v>
      </c>
      <c r="AW89" s="241">
        <f t="shared" ref="AW89" si="141">AU89*$F89*AV89</f>
        <v>0</v>
      </c>
      <c r="AX89" s="379"/>
      <c r="AY89" s="376"/>
      <c r="AZ89" s="376"/>
      <c r="BA89" s="376"/>
      <c r="BB89" s="376"/>
      <c r="BC89" s="376"/>
      <c r="BD89" s="373"/>
      <c r="BE89" s="241">
        <f t="shared" si="78"/>
        <v>0</v>
      </c>
      <c r="BG89" s="44"/>
      <c r="BH89" s="20"/>
      <c r="BI89" s="20"/>
      <c r="BJ89" s="21"/>
      <c r="BK89" s="22"/>
      <c r="BL89" s="74">
        <f t="shared" ref="BL89" si="142">SUM(BG89:BK89)</f>
        <v>0</v>
      </c>
      <c r="BM89" s="240">
        <v>1</v>
      </c>
      <c r="BN89" s="241">
        <f t="shared" ref="BN89" si="143">BL89*$F89*BM89</f>
        <v>0</v>
      </c>
      <c r="BO89" s="379"/>
      <c r="BP89" s="376"/>
      <c r="BQ89" s="376"/>
      <c r="BR89" s="376"/>
      <c r="BS89" s="376"/>
      <c r="BT89" s="376"/>
      <c r="BU89" s="373"/>
      <c r="BV89" s="241">
        <f t="shared" si="80"/>
        <v>0</v>
      </c>
      <c r="BX89" s="44"/>
      <c r="BY89" s="20"/>
      <c r="BZ89" s="20"/>
      <c r="CA89" s="21"/>
      <c r="CB89" s="22"/>
      <c r="CC89" s="74">
        <f t="shared" ref="CC89" si="144">SUM(BX89:CB89)</f>
        <v>0</v>
      </c>
      <c r="CD89" s="240">
        <v>1</v>
      </c>
      <c r="CE89" s="241">
        <f t="shared" ref="CE89" si="145">CC89*$F89*CD89</f>
        <v>0</v>
      </c>
      <c r="CF89" s="379"/>
      <c r="CG89" s="376"/>
      <c r="CH89" s="376"/>
      <c r="CI89" s="376"/>
      <c r="CJ89" s="376"/>
      <c r="CK89" s="376"/>
      <c r="CL89" s="373"/>
      <c r="CM89" s="241">
        <f t="shared" si="82"/>
        <v>0</v>
      </c>
      <c r="CN89" s="39"/>
      <c r="CO89" s="3"/>
      <c r="CP89" s="76">
        <f t="shared" si="83"/>
        <v>0</v>
      </c>
      <c r="CQ89" s="3"/>
      <c r="CR89" s="76">
        <f t="shared" si="84"/>
        <v>0</v>
      </c>
      <c r="CT89" s="76">
        <f t="shared" si="105"/>
        <v>0</v>
      </c>
    </row>
    <row r="90" spans="1:98" ht="15" customHeight="1" x14ac:dyDescent="0.2">
      <c r="A90" s="389"/>
      <c r="B90" s="395"/>
      <c r="C90" s="234" t="s">
        <v>473</v>
      </c>
      <c r="D90" s="242" t="s">
        <v>428</v>
      </c>
      <c r="E90" s="234" t="s">
        <v>3</v>
      </c>
      <c r="F90" s="301">
        <f>F1*(15.8*(1.014*1.012*1.015)*1.1/1.11)*1.028</f>
        <v>17.159011477482466</v>
      </c>
      <c r="H90" s="43"/>
      <c r="I90" s="23"/>
      <c r="J90" s="23"/>
      <c r="K90" s="24"/>
      <c r="L90" s="25"/>
      <c r="M90" s="74">
        <f t="shared" si="95"/>
        <v>0</v>
      </c>
      <c r="N90" s="240">
        <v>1</v>
      </c>
      <c r="O90" s="241">
        <f t="shared" si="96"/>
        <v>0</v>
      </c>
      <c r="P90" s="379"/>
      <c r="Q90" s="376"/>
      <c r="R90" s="376"/>
      <c r="S90" s="376"/>
      <c r="T90" s="376"/>
      <c r="U90" s="376"/>
      <c r="V90" s="373"/>
      <c r="W90" s="241">
        <f t="shared" si="74"/>
        <v>0</v>
      </c>
      <c r="Y90" s="43"/>
      <c r="Z90" s="23"/>
      <c r="AA90" s="23"/>
      <c r="AB90" s="24"/>
      <c r="AC90" s="25"/>
      <c r="AD90" s="74">
        <f t="shared" si="97"/>
        <v>0</v>
      </c>
      <c r="AE90" s="240">
        <v>1</v>
      </c>
      <c r="AF90" s="241">
        <f t="shared" si="98"/>
        <v>0</v>
      </c>
      <c r="AG90" s="379"/>
      <c r="AH90" s="376"/>
      <c r="AI90" s="376"/>
      <c r="AJ90" s="376"/>
      <c r="AK90" s="376"/>
      <c r="AL90" s="376"/>
      <c r="AM90" s="373"/>
      <c r="AN90" s="241">
        <f t="shared" si="76"/>
        <v>0</v>
      </c>
      <c r="AP90" s="43"/>
      <c r="AQ90" s="23"/>
      <c r="AR90" s="23"/>
      <c r="AS90" s="24"/>
      <c r="AT90" s="25"/>
      <c r="AU90" s="74">
        <f t="shared" si="99"/>
        <v>0</v>
      </c>
      <c r="AV90" s="240">
        <v>1</v>
      </c>
      <c r="AW90" s="241">
        <f t="shared" si="100"/>
        <v>0</v>
      </c>
      <c r="AX90" s="379"/>
      <c r="AY90" s="376"/>
      <c r="AZ90" s="376"/>
      <c r="BA90" s="376"/>
      <c r="BB90" s="376"/>
      <c r="BC90" s="376"/>
      <c r="BD90" s="373"/>
      <c r="BE90" s="241">
        <f t="shared" si="78"/>
        <v>0</v>
      </c>
      <c r="BG90" s="43"/>
      <c r="BH90" s="23"/>
      <c r="BI90" s="23"/>
      <c r="BJ90" s="24"/>
      <c r="BK90" s="25"/>
      <c r="BL90" s="74">
        <f t="shared" si="101"/>
        <v>0</v>
      </c>
      <c r="BM90" s="240">
        <v>1</v>
      </c>
      <c r="BN90" s="241">
        <f t="shared" si="102"/>
        <v>0</v>
      </c>
      <c r="BO90" s="379"/>
      <c r="BP90" s="376"/>
      <c r="BQ90" s="376"/>
      <c r="BR90" s="376"/>
      <c r="BS90" s="376"/>
      <c r="BT90" s="376"/>
      <c r="BU90" s="373"/>
      <c r="BV90" s="241">
        <f t="shared" si="80"/>
        <v>0</v>
      </c>
      <c r="BX90" s="43"/>
      <c r="BY90" s="23"/>
      <c r="BZ90" s="23"/>
      <c r="CA90" s="24"/>
      <c r="CB90" s="25"/>
      <c r="CC90" s="74">
        <f t="shared" si="103"/>
        <v>0</v>
      </c>
      <c r="CD90" s="240">
        <v>1</v>
      </c>
      <c r="CE90" s="241">
        <f t="shared" si="104"/>
        <v>0</v>
      </c>
      <c r="CF90" s="379"/>
      <c r="CG90" s="376"/>
      <c r="CH90" s="376"/>
      <c r="CI90" s="376"/>
      <c r="CJ90" s="376"/>
      <c r="CK90" s="376"/>
      <c r="CL90" s="373"/>
      <c r="CM90" s="241">
        <f t="shared" si="82"/>
        <v>0</v>
      </c>
      <c r="CN90" s="39"/>
      <c r="CO90" s="3"/>
      <c r="CP90" s="76">
        <f t="shared" si="83"/>
        <v>0</v>
      </c>
      <c r="CQ90" s="3"/>
      <c r="CR90" s="76">
        <f t="shared" si="84"/>
        <v>0</v>
      </c>
      <c r="CT90" s="76">
        <f t="shared" si="105"/>
        <v>0</v>
      </c>
    </row>
    <row r="91" spans="1:98" ht="15" customHeight="1" x14ac:dyDescent="0.2">
      <c r="A91" s="389"/>
      <c r="B91" s="398" t="s">
        <v>132</v>
      </c>
      <c r="C91" s="234" t="s">
        <v>474</v>
      </c>
      <c r="D91" s="242" t="s">
        <v>54</v>
      </c>
      <c r="E91" s="234" t="s">
        <v>2</v>
      </c>
      <c r="F91" s="301">
        <f>F1*(0.0163*(1.014*1.012*1.015)*1.1/1.11)*1.028</f>
        <v>1.7702018169807859E-2</v>
      </c>
      <c r="H91" s="43"/>
      <c r="I91" s="23"/>
      <c r="J91" s="23"/>
      <c r="K91" s="24"/>
      <c r="L91" s="25"/>
      <c r="M91" s="74">
        <f t="shared" si="95"/>
        <v>0</v>
      </c>
      <c r="N91" s="240">
        <v>1</v>
      </c>
      <c r="O91" s="241">
        <f t="shared" si="96"/>
        <v>0</v>
      </c>
      <c r="P91" s="379"/>
      <c r="Q91" s="376"/>
      <c r="R91" s="376"/>
      <c r="S91" s="376"/>
      <c r="T91" s="376"/>
      <c r="U91" s="376"/>
      <c r="V91" s="373"/>
      <c r="W91" s="241">
        <f t="shared" si="74"/>
        <v>0</v>
      </c>
      <c r="Y91" s="43"/>
      <c r="Z91" s="23"/>
      <c r="AA91" s="23"/>
      <c r="AB91" s="24"/>
      <c r="AC91" s="25"/>
      <c r="AD91" s="74">
        <f t="shared" si="97"/>
        <v>0</v>
      </c>
      <c r="AE91" s="240">
        <v>1</v>
      </c>
      <c r="AF91" s="241">
        <f t="shared" si="98"/>
        <v>0</v>
      </c>
      <c r="AG91" s="379"/>
      <c r="AH91" s="376"/>
      <c r="AI91" s="376"/>
      <c r="AJ91" s="376"/>
      <c r="AK91" s="376"/>
      <c r="AL91" s="376"/>
      <c r="AM91" s="373"/>
      <c r="AN91" s="241">
        <f t="shared" si="76"/>
        <v>0</v>
      </c>
      <c r="AP91" s="43"/>
      <c r="AQ91" s="23"/>
      <c r="AR91" s="23"/>
      <c r="AS91" s="24"/>
      <c r="AT91" s="25"/>
      <c r="AU91" s="74">
        <f t="shared" si="99"/>
        <v>0</v>
      </c>
      <c r="AV91" s="240">
        <v>1</v>
      </c>
      <c r="AW91" s="241">
        <f t="shared" si="100"/>
        <v>0</v>
      </c>
      <c r="AX91" s="379"/>
      <c r="AY91" s="376"/>
      <c r="AZ91" s="376"/>
      <c r="BA91" s="376"/>
      <c r="BB91" s="376"/>
      <c r="BC91" s="376"/>
      <c r="BD91" s="373"/>
      <c r="BE91" s="241">
        <f t="shared" si="78"/>
        <v>0</v>
      </c>
      <c r="BG91" s="43"/>
      <c r="BH91" s="23"/>
      <c r="BI91" s="23"/>
      <c r="BJ91" s="24"/>
      <c r="BK91" s="25"/>
      <c r="BL91" s="74">
        <f t="shared" si="101"/>
        <v>0</v>
      </c>
      <c r="BM91" s="240">
        <v>1</v>
      </c>
      <c r="BN91" s="241">
        <f t="shared" si="102"/>
        <v>0</v>
      </c>
      <c r="BO91" s="379"/>
      <c r="BP91" s="376"/>
      <c r="BQ91" s="376"/>
      <c r="BR91" s="376"/>
      <c r="BS91" s="376"/>
      <c r="BT91" s="376"/>
      <c r="BU91" s="373"/>
      <c r="BV91" s="241">
        <f t="shared" si="80"/>
        <v>0</v>
      </c>
      <c r="BX91" s="43"/>
      <c r="BY91" s="23"/>
      <c r="BZ91" s="23"/>
      <c r="CA91" s="24"/>
      <c r="CB91" s="25"/>
      <c r="CC91" s="74">
        <f t="shared" si="103"/>
        <v>0</v>
      </c>
      <c r="CD91" s="240">
        <v>1</v>
      </c>
      <c r="CE91" s="241">
        <f t="shared" si="104"/>
        <v>0</v>
      </c>
      <c r="CF91" s="379"/>
      <c r="CG91" s="376"/>
      <c r="CH91" s="376"/>
      <c r="CI91" s="376"/>
      <c r="CJ91" s="376"/>
      <c r="CK91" s="376"/>
      <c r="CL91" s="373"/>
      <c r="CM91" s="241">
        <f t="shared" si="82"/>
        <v>0</v>
      </c>
      <c r="CN91" s="39"/>
      <c r="CO91" s="3"/>
      <c r="CP91" s="76">
        <f t="shared" si="83"/>
        <v>0</v>
      </c>
      <c r="CQ91" s="3"/>
      <c r="CR91" s="76">
        <f t="shared" si="84"/>
        <v>0</v>
      </c>
      <c r="CT91" s="76">
        <f t="shared" si="105"/>
        <v>0</v>
      </c>
    </row>
    <row r="92" spans="1:98" ht="15" customHeight="1" x14ac:dyDescent="0.2">
      <c r="A92" s="389"/>
      <c r="B92" s="399"/>
      <c r="C92" s="234" t="s">
        <v>475</v>
      </c>
      <c r="D92" s="242" t="s">
        <v>52</v>
      </c>
      <c r="E92" s="234" t="s">
        <v>2</v>
      </c>
      <c r="F92" s="301">
        <f>F1*(0.0105*(1.014*1.012*1.015)*1.1/1.11)*1.028</f>
        <v>1.1403140538833286E-2</v>
      </c>
      <c r="H92" s="43"/>
      <c r="I92" s="23"/>
      <c r="J92" s="23"/>
      <c r="K92" s="24"/>
      <c r="L92" s="25"/>
      <c r="M92" s="74">
        <f t="shared" si="95"/>
        <v>0</v>
      </c>
      <c r="N92" s="240">
        <v>1</v>
      </c>
      <c r="O92" s="241">
        <f t="shared" si="96"/>
        <v>0</v>
      </c>
      <c r="P92" s="379"/>
      <c r="Q92" s="376"/>
      <c r="R92" s="376"/>
      <c r="S92" s="376"/>
      <c r="T92" s="376"/>
      <c r="U92" s="376"/>
      <c r="V92" s="373"/>
      <c r="W92" s="241">
        <f t="shared" si="74"/>
        <v>0</v>
      </c>
      <c r="Y92" s="43"/>
      <c r="Z92" s="23"/>
      <c r="AA92" s="23"/>
      <c r="AB92" s="24"/>
      <c r="AC92" s="25"/>
      <c r="AD92" s="74">
        <f t="shared" si="97"/>
        <v>0</v>
      </c>
      <c r="AE92" s="240">
        <v>1</v>
      </c>
      <c r="AF92" s="241">
        <f t="shared" si="98"/>
        <v>0</v>
      </c>
      <c r="AG92" s="379"/>
      <c r="AH92" s="376"/>
      <c r="AI92" s="376"/>
      <c r="AJ92" s="376"/>
      <c r="AK92" s="376"/>
      <c r="AL92" s="376"/>
      <c r="AM92" s="373"/>
      <c r="AN92" s="241">
        <f t="shared" si="76"/>
        <v>0</v>
      </c>
      <c r="AP92" s="43"/>
      <c r="AQ92" s="23"/>
      <c r="AR92" s="23"/>
      <c r="AS92" s="24"/>
      <c r="AT92" s="25"/>
      <c r="AU92" s="74">
        <f t="shared" si="99"/>
        <v>0</v>
      </c>
      <c r="AV92" s="240">
        <v>1</v>
      </c>
      <c r="AW92" s="241">
        <f t="shared" si="100"/>
        <v>0</v>
      </c>
      <c r="AX92" s="379"/>
      <c r="AY92" s="376"/>
      <c r="AZ92" s="376"/>
      <c r="BA92" s="376"/>
      <c r="BB92" s="376"/>
      <c r="BC92" s="376"/>
      <c r="BD92" s="373"/>
      <c r="BE92" s="241">
        <f t="shared" si="78"/>
        <v>0</v>
      </c>
      <c r="BG92" s="43"/>
      <c r="BH92" s="23"/>
      <c r="BI92" s="23"/>
      <c r="BJ92" s="24"/>
      <c r="BK92" s="25"/>
      <c r="BL92" s="74">
        <f t="shared" si="101"/>
        <v>0</v>
      </c>
      <c r="BM92" s="240">
        <v>1</v>
      </c>
      <c r="BN92" s="241">
        <f t="shared" si="102"/>
        <v>0</v>
      </c>
      <c r="BO92" s="379"/>
      <c r="BP92" s="376"/>
      <c r="BQ92" s="376"/>
      <c r="BR92" s="376"/>
      <c r="BS92" s="376"/>
      <c r="BT92" s="376"/>
      <c r="BU92" s="373"/>
      <c r="BV92" s="241">
        <f t="shared" si="80"/>
        <v>0</v>
      </c>
      <c r="BX92" s="43"/>
      <c r="BY92" s="23"/>
      <c r="BZ92" s="23"/>
      <c r="CA92" s="24"/>
      <c r="CB92" s="25"/>
      <c r="CC92" s="74">
        <f t="shared" si="103"/>
        <v>0</v>
      </c>
      <c r="CD92" s="240">
        <v>1</v>
      </c>
      <c r="CE92" s="241">
        <f t="shared" si="104"/>
        <v>0</v>
      </c>
      <c r="CF92" s="379"/>
      <c r="CG92" s="376"/>
      <c r="CH92" s="376"/>
      <c r="CI92" s="376"/>
      <c r="CJ92" s="376"/>
      <c r="CK92" s="376"/>
      <c r="CL92" s="373"/>
      <c r="CM92" s="241">
        <f t="shared" si="82"/>
        <v>0</v>
      </c>
      <c r="CN92" s="39"/>
      <c r="CO92" s="3"/>
      <c r="CP92" s="76">
        <f t="shared" si="83"/>
        <v>0</v>
      </c>
      <c r="CQ92" s="3"/>
      <c r="CR92" s="76">
        <f t="shared" si="84"/>
        <v>0</v>
      </c>
      <c r="CT92" s="76">
        <f t="shared" si="105"/>
        <v>0</v>
      </c>
    </row>
    <row r="93" spans="1:98" ht="15" customHeight="1" x14ac:dyDescent="0.2">
      <c r="A93" s="389"/>
      <c r="B93" s="399"/>
      <c r="C93" s="234" t="s">
        <v>476</v>
      </c>
      <c r="D93" s="242" t="s">
        <v>53</v>
      </c>
      <c r="E93" s="234" t="s">
        <v>2</v>
      </c>
      <c r="F93" s="301">
        <f>F1*(0.0078*(1.014*1.012*1.015)*1.1/1.11)*1.028</f>
        <v>8.4709044002761538E-3</v>
      </c>
      <c r="H93" s="43"/>
      <c r="I93" s="23"/>
      <c r="J93" s="23"/>
      <c r="K93" s="24"/>
      <c r="L93" s="25"/>
      <c r="M93" s="74">
        <f t="shared" si="95"/>
        <v>0</v>
      </c>
      <c r="N93" s="240">
        <v>1</v>
      </c>
      <c r="O93" s="241">
        <f t="shared" si="96"/>
        <v>0</v>
      </c>
      <c r="P93" s="379"/>
      <c r="Q93" s="376"/>
      <c r="R93" s="376"/>
      <c r="S93" s="376"/>
      <c r="T93" s="376"/>
      <c r="U93" s="376"/>
      <c r="V93" s="373"/>
      <c r="W93" s="241">
        <f t="shared" si="74"/>
        <v>0</v>
      </c>
      <c r="Y93" s="43">
        <v>3350</v>
      </c>
      <c r="Z93" s="23"/>
      <c r="AA93" s="23"/>
      <c r="AB93" s="24"/>
      <c r="AC93" s="25"/>
      <c r="AD93" s="74">
        <f t="shared" si="97"/>
        <v>3350</v>
      </c>
      <c r="AE93" s="240">
        <v>1</v>
      </c>
      <c r="AF93" s="241">
        <f t="shared" si="98"/>
        <v>28.377529740925116</v>
      </c>
      <c r="AG93" s="379"/>
      <c r="AH93" s="376"/>
      <c r="AI93" s="376"/>
      <c r="AJ93" s="376"/>
      <c r="AK93" s="376"/>
      <c r="AL93" s="376"/>
      <c r="AM93" s="373"/>
      <c r="AN93" s="241">
        <f t="shared" si="76"/>
        <v>34.409043150721956</v>
      </c>
      <c r="AP93" s="43"/>
      <c r="AQ93" s="23"/>
      <c r="AR93" s="23"/>
      <c r="AS93" s="24"/>
      <c r="AT93" s="25"/>
      <c r="AU93" s="74">
        <f t="shared" si="99"/>
        <v>0</v>
      </c>
      <c r="AV93" s="240">
        <v>1</v>
      </c>
      <c r="AW93" s="241">
        <f t="shared" si="100"/>
        <v>0</v>
      </c>
      <c r="AX93" s="379"/>
      <c r="AY93" s="376"/>
      <c r="AZ93" s="376"/>
      <c r="BA93" s="376"/>
      <c r="BB93" s="376"/>
      <c r="BC93" s="376"/>
      <c r="BD93" s="373"/>
      <c r="BE93" s="241">
        <f t="shared" si="78"/>
        <v>0</v>
      </c>
      <c r="BG93" s="43"/>
      <c r="BH93" s="23"/>
      <c r="BI93" s="23"/>
      <c r="BJ93" s="24"/>
      <c r="BK93" s="25"/>
      <c r="BL93" s="74">
        <f t="shared" si="101"/>
        <v>0</v>
      </c>
      <c r="BM93" s="240">
        <v>1</v>
      </c>
      <c r="BN93" s="241">
        <f t="shared" si="102"/>
        <v>0</v>
      </c>
      <c r="BO93" s="379"/>
      <c r="BP93" s="376"/>
      <c r="BQ93" s="376"/>
      <c r="BR93" s="376"/>
      <c r="BS93" s="376"/>
      <c r="BT93" s="376"/>
      <c r="BU93" s="373"/>
      <c r="BV93" s="241">
        <f t="shared" si="80"/>
        <v>0</v>
      </c>
      <c r="BX93" s="43"/>
      <c r="BY93" s="23"/>
      <c r="BZ93" s="23"/>
      <c r="CA93" s="24"/>
      <c r="CB93" s="25"/>
      <c r="CC93" s="74">
        <f t="shared" si="103"/>
        <v>0</v>
      </c>
      <c r="CD93" s="240">
        <v>1</v>
      </c>
      <c r="CE93" s="241">
        <f t="shared" si="104"/>
        <v>0</v>
      </c>
      <c r="CF93" s="379"/>
      <c r="CG93" s="376"/>
      <c r="CH93" s="376"/>
      <c r="CI93" s="376"/>
      <c r="CJ93" s="376"/>
      <c r="CK93" s="376"/>
      <c r="CL93" s="373"/>
      <c r="CM93" s="241">
        <f t="shared" si="82"/>
        <v>0</v>
      </c>
      <c r="CN93" s="39"/>
      <c r="CO93" s="3"/>
      <c r="CP93" s="76">
        <f t="shared" si="83"/>
        <v>28.377529740925116</v>
      </c>
      <c r="CQ93" s="3"/>
      <c r="CR93" s="76">
        <f t="shared" si="84"/>
        <v>34.409043150721956</v>
      </c>
      <c r="CT93" s="76">
        <f t="shared" si="105"/>
        <v>3350</v>
      </c>
    </row>
    <row r="94" spans="1:98" ht="15" customHeight="1" x14ac:dyDescent="0.2">
      <c r="A94" s="389"/>
      <c r="B94" s="394" t="s">
        <v>41</v>
      </c>
      <c r="C94" s="234" t="s">
        <v>477</v>
      </c>
      <c r="D94" s="201" t="s">
        <v>357</v>
      </c>
      <c r="E94" s="243"/>
      <c r="F94" s="322"/>
      <c r="H94" s="67"/>
      <c r="I94" s="68"/>
      <c r="J94" s="68"/>
      <c r="K94" s="69"/>
      <c r="L94" s="70"/>
      <c r="M94" s="82">
        <f t="shared" si="95"/>
        <v>0</v>
      </c>
      <c r="N94" s="244">
        <v>1</v>
      </c>
      <c r="O94" s="245">
        <f t="shared" si="96"/>
        <v>0</v>
      </c>
      <c r="P94" s="379"/>
      <c r="Q94" s="376"/>
      <c r="R94" s="376"/>
      <c r="S94" s="376"/>
      <c r="T94" s="376"/>
      <c r="U94" s="376"/>
      <c r="V94" s="373"/>
      <c r="W94" s="241">
        <f t="shared" si="74"/>
        <v>0</v>
      </c>
      <c r="Y94" s="67"/>
      <c r="Z94" s="68"/>
      <c r="AA94" s="68"/>
      <c r="AB94" s="69"/>
      <c r="AC94" s="70"/>
      <c r="AD94" s="82">
        <f t="shared" si="97"/>
        <v>0</v>
      </c>
      <c r="AE94" s="244">
        <v>1</v>
      </c>
      <c r="AF94" s="245">
        <f t="shared" si="98"/>
        <v>0</v>
      </c>
      <c r="AG94" s="379"/>
      <c r="AH94" s="376"/>
      <c r="AI94" s="376"/>
      <c r="AJ94" s="376"/>
      <c r="AK94" s="376"/>
      <c r="AL94" s="376"/>
      <c r="AM94" s="373"/>
      <c r="AN94" s="241">
        <f t="shared" si="76"/>
        <v>0</v>
      </c>
      <c r="AP94" s="67"/>
      <c r="AQ94" s="68"/>
      <c r="AR94" s="68"/>
      <c r="AS94" s="69"/>
      <c r="AT94" s="70"/>
      <c r="AU94" s="82">
        <f t="shared" si="99"/>
        <v>0</v>
      </c>
      <c r="AV94" s="244">
        <v>1</v>
      </c>
      <c r="AW94" s="245">
        <f t="shared" si="100"/>
        <v>0</v>
      </c>
      <c r="AX94" s="379"/>
      <c r="AY94" s="376"/>
      <c r="AZ94" s="376"/>
      <c r="BA94" s="376"/>
      <c r="BB94" s="376"/>
      <c r="BC94" s="376"/>
      <c r="BD94" s="373"/>
      <c r="BE94" s="241">
        <f t="shared" si="78"/>
        <v>0</v>
      </c>
      <c r="BG94" s="67"/>
      <c r="BH94" s="68"/>
      <c r="BI94" s="68"/>
      <c r="BJ94" s="69"/>
      <c r="BK94" s="70"/>
      <c r="BL94" s="82">
        <f t="shared" si="101"/>
        <v>0</v>
      </c>
      <c r="BM94" s="244">
        <v>1</v>
      </c>
      <c r="BN94" s="245">
        <f t="shared" si="102"/>
        <v>0</v>
      </c>
      <c r="BO94" s="379"/>
      <c r="BP94" s="376"/>
      <c r="BQ94" s="376"/>
      <c r="BR94" s="376"/>
      <c r="BS94" s="376"/>
      <c r="BT94" s="376"/>
      <c r="BU94" s="373"/>
      <c r="BV94" s="241">
        <f t="shared" si="80"/>
        <v>0</v>
      </c>
      <c r="BX94" s="67"/>
      <c r="BY94" s="68"/>
      <c r="BZ94" s="68"/>
      <c r="CA94" s="69"/>
      <c r="CB94" s="70"/>
      <c r="CC94" s="82">
        <f t="shared" si="103"/>
        <v>0</v>
      </c>
      <c r="CD94" s="244">
        <v>1</v>
      </c>
      <c r="CE94" s="245">
        <f t="shared" si="104"/>
        <v>0</v>
      </c>
      <c r="CF94" s="379"/>
      <c r="CG94" s="376"/>
      <c r="CH94" s="376"/>
      <c r="CI94" s="376"/>
      <c r="CJ94" s="376"/>
      <c r="CK94" s="376"/>
      <c r="CL94" s="373"/>
      <c r="CM94" s="241">
        <f t="shared" si="82"/>
        <v>0</v>
      </c>
      <c r="CN94" s="39"/>
      <c r="CO94" s="3"/>
      <c r="CP94" s="76">
        <f t="shared" si="83"/>
        <v>0</v>
      </c>
      <c r="CQ94" s="3"/>
      <c r="CR94" s="76">
        <f t="shared" si="84"/>
        <v>0</v>
      </c>
      <c r="CT94" s="76">
        <f t="shared" si="105"/>
        <v>0</v>
      </c>
    </row>
    <row r="95" spans="1:98" ht="15" customHeight="1" x14ac:dyDescent="0.2">
      <c r="A95" s="389"/>
      <c r="B95" s="395"/>
      <c r="C95" s="234" t="s">
        <v>478</v>
      </c>
      <c r="D95" s="201" t="s">
        <v>357</v>
      </c>
      <c r="E95" s="243"/>
      <c r="F95" s="322"/>
      <c r="H95" s="67"/>
      <c r="I95" s="68"/>
      <c r="J95" s="68"/>
      <c r="K95" s="69"/>
      <c r="L95" s="70"/>
      <c r="M95" s="74">
        <f t="shared" si="95"/>
        <v>0</v>
      </c>
      <c r="N95" s="240">
        <v>1</v>
      </c>
      <c r="O95" s="241">
        <f t="shared" si="96"/>
        <v>0</v>
      </c>
      <c r="P95" s="379"/>
      <c r="Q95" s="376"/>
      <c r="R95" s="376"/>
      <c r="S95" s="376"/>
      <c r="T95" s="376"/>
      <c r="U95" s="376"/>
      <c r="V95" s="373"/>
      <c r="W95" s="241">
        <f t="shared" si="74"/>
        <v>0</v>
      </c>
      <c r="Y95" s="67"/>
      <c r="Z95" s="68"/>
      <c r="AA95" s="68"/>
      <c r="AB95" s="69"/>
      <c r="AC95" s="70"/>
      <c r="AD95" s="74">
        <f t="shared" si="97"/>
        <v>0</v>
      </c>
      <c r="AE95" s="240">
        <v>1</v>
      </c>
      <c r="AF95" s="241">
        <f t="shared" si="98"/>
        <v>0</v>
      </c>
      <c r="AG95" s="379"/>
      <c r="AH95" s="376"/>
      <c r="AI95" s="376"/>
      <c r="AJ95" s="376"/>
      <c r="AK95" s="376"/>
      <c r="AL95" s="376"/>
      <c r="AM95" s="373"/>
      <c r="AN95" s="241">
        <f t="shared" si="76"/>
        <v>0</v>
      </c>
      <c r="AP95" s="67"/>
      <c r="AQ95" s="68"/>
      <c r="AR95" s="68"/>
      <c r="AS95" s="69"/>
      <c r="AT95" s="70"/>
      <c r="AU95" s="74">
        <f t="shared" si="99"/>
        <v>0</v>
      </c>
      <c r="AV95" s="240">
        <v>1</v>
      </c>
      <c r="AW95" s="241">
        <f t="shared" si="100"/>
        <v>0</v>
      </c>
      <c r="AX95" s="379"/>
      <c r="AY95" s="376"/>
      <c r="AZ95" s="376"/>
      <c r="BA95" s="376"/>
      <c r="BB95" s="376"/>
      <c r="BC95" s="376"/>
      <c r="BD95" s="373"/>
      <c r="BE95" s="241">
        <f t="shared" si="78"/>
        <v>0</v>
      </c>
      <c r="BG95" s="67"/>
      <c r="BH95" s="68"/>
      <c r="BI95" s="68"/>
      <c r="BJ95" s="69"/>
      <c r="BK95" s="70"/>
      <c r="BL95" s="74">
        <f t="shared" si="101"/>
        <v>0</v>
      </c>
      <c r="BM95" s="240">
        <v>1</v>
      </c>
      <c r="BN95" s="241">
        <f t="shared" si="102"/>
        <v>0</v>
      </c>
      <c r="BO95" s="379"/>
      <c r="BP95" s="376"/>
      <c r="BQ95" s="376"/>
      <c r="BR95" s="376"/>
      <c r="BS95" s="376"/>
      <c r="BT95" s="376"/>
      <c r="BU95" s="373"/>
      <c r="BV95" s="241">
        <f t="shared" si="80"/>
        <v>0</v>
      </c>
      <c r="BX95" s="67"/>
      <c r="BY95" s="68"/>
      <c r="BZ95" s="68"/>
      <c r="CA95" s="69"/>
      <c r="CB95" s="70"/>
      <c r="CC95" s="74">
        <f t="shared" si="103"/>
        <v>0</v>
      </c>
      <c r="CD95" s="240">
        <v>1</v>
      </c>
      <c r="CE95" s="241">
        <f t="shared" si="104"/>
        <v>0</v>
      </c>
      <c r="CF95" s="379"/>
      <c r="CG95" s="376"/>
      <c r="CH95" s="376"/>
      <c r="CI95" s="376"/>
      <c r="CJ95" s="376"/>
      <c r="CK95" s="376"/>
      <c r="CL95" s="373"/>
      <c r="CM95" s="241">
        <f t="shared" si="82"/>
        <v>0</v>
      </c>
      <c r="CN95" s="39"/>
      <c r="CO95" s="3"/>
      <c r="CP95" s="76">
        <f t="shared" si="83"/>
        <v>0</v>
      </c>
      <c r="CQ95" s="3"/>
      <c r="CR95" s="76">
        <f t="shared" si="84"/>
        <v>0</v>
      </c>
      <c r="CT95" s="76">
        <f t="shared" si="105"/>
        <v>0</v>
      </c>
    </row>
    <row r="96" spans="1:98" ht="15" customHeight="1" x14ac:dyDescent="0.2">
      <c r="A96" s="389"/>
      <c r="B96" s="395"/>
      <c r="C96" s="234" t="s">
        <v>479</v>
      </c>
      <c r="D96" s="201" t="s">
        <v>357</v>
      </c>
      <c r="E96" s="243"/>
      <c r="F96" s="322"/>
      <c r="H96" s="67"/>
      <c r="I96" s="68"/>
      <c r="J96" s="68"/>
      <c r="K96" s="69"/>
      <c r="L96" s="70"/>
      <c r="M96" s="74">
        <f t="shared" si="95"/>
        <v>0</v>
      </c>
      <c r="N96" s="240">
        <v>1</v>
      </c>
      <c r="O96" s="241">
        <f t="shared" si="96"/>
        <v>0</v>
      </c>
      <c r="P96" s="379"/>
      <c r="Q96" s="376"/>
      <c r="R96" s="376"/>
      <c r="S96" s="376"/>
      <c r="T96" s="376"/>
      <c r="U96" s="376"/>
      <c r="V96" s="373"/>
      <c r="W96" s="241">
        <f t="shared" si="74"/>
        <v>0</v>
      </c>
      <c r="Y96" s="67"/>
      <c r="Z96" s="68"/>
      <c r="AA96" s="68"/>
      <c r="AB96" s="69"/>
      <c r="AC96" s="70"/>
      <c r="AD96" s="74">
        <f t="shared" si="97"/>
        <v>0</v>
      </c>
      <c r="AE96" s="240">
        <v>1</v>
      </c>
      <c r="AF96" s="241">
        <f t="shared" si="98"/>
        <v>0</v>
      </c>
      <c r="AG96" s="379"/>
      <c r="AH96" s="376"/>
      <c r="AI96" s="376"/>
      <c r="AJ96" s="376"/>
      <c r="AK96" s="376"/>
      <c r="AL96" s="376"/>
      <c r="AM96" s="373"/>
      <c r="AN96" s="241">
        <f t="shared" si="76"/>
        <v>0</v>
      </c>
      <c r="AP96" s="67"/>
      <c r="AQ96" s="68"/>
      <c r="AR96" s="68"/>
      <c r="AS96" s="69"/>
      <c r="AT96" s="70"/>
      <c r="AU96" s="74">
        <f t="shared" si="99"/>
        <v>0</v>
      </c>
      <c r="AV96" s="240">
        <v>1</v>
      </c>
      <c r="AW96" s="241">
        <f t="shared" si="100"/>
        <v>0</v>
      </c>
      <c r="AX96" s="379"/>
      <c r="AY96" s="376"/>
      <c r="AZ96" s="376"/>
      <c r="BA96" s="376"/>
      <c r="BB96" s="376"/>
      <c r="BC96" s="376"/>
      <c r="BD96" s="373"/>
      <c r="BE96" s="241">
        <f t="shared" si="78"/>
        <v>0</v>
      </c>
      <c r="BG96" s="67"/>
      <c r="BH96" s="68"/>
      <c r="BI96" s="68"/>
      <c r="BJ96" s="69"/>
      <c r="BK96" s="70"/>
      <c r="BL96" s="74">
        <f t="shared" si="101"/>
        <v>0</v>
      </c>
      <c r="BM96" s="240">
        <v>1</v>
      </c>
      <c r="BN96" s="241">
        <f t="shared" si="102"/>
        <v>0</v>
      </c>
      <c r="BO96" s="379"/>
      <c r="BP96" s="376"/>
      <c r="BQ96" s="376"/>
      <c r="BR96" s="376"/>
      <c r="BS96" s="376"/>
      <c r="BT96" s="376"/>
      <c r="BU96" s="373"/>
      <c r="BV96" s="241">
        <f t="shared" si="80"/>
        <v>0</v>
      </c>
      <c r="BX96" s="67"/>
      <c r="BY96" s="68"/>
      <c r="BZ96" s="68"/>
      <c r="CA96" s="69"/>
      <c r="CB96" s="70"/>
      <c r="CC96" s="74">
        <f t="shared" si="103"/>
        <v>0</v>
      </c>
      <c r="CD96" s="240">
        <v>1</v>
      </c>
      <c r="CE96" s="241">
        <f t="shared" si="104"/>
        <v>0</v>
      </c>
      <c r="CF96" s="379"/>
      <c r="CG96" s="376"/>
      <c r="CH96" s="376"/>
      <c r="CI96" s="376"/>
      <c r="CJ96" s="376"/>
      <c r="CK96" s="376"/>
      <c r="CL96" s="373"/>
      <c r="CM96" s="241">
        <f t="shared" si="82"/>
        <v>0</v>
      </c>
      <c r="CN96" s="39"/>
      <c r="CO96" s="3"/>
      <c r="CP96" s="76">
        <f t="shared" si="83"/>
        <v>0</v>
      </c>
      <c r="CQ96" s="3"/>
      <c r="CR96" s="76">
        <f t="shared" si="84"/>
        <v>0</v>
      </c>
      <c r="CT96" s="76">
        <f t="shared" si="105"/>
        <v>0</v>
      </c>
    </row>
    <row r="97" spans="1:98" ht="15" customHeight="1" x14ac:dyDescent="0.2">
      <c r="A97" s="389"/>
      <c r="B97" s="395"/>
      <c r="C97" s="234" t="s">
        <v>480</v>
      </c>
      <c r="D97" s="204" t="s">
        <v>215</v>
      </c>
      <c r="E97" s="205" t="s">
        <v>10</v>
      </c>
      <c r="F97" s="323"/>
      <c r="H97" s="67"/>
      <c r="I97" s="68"/>
      <c r="J97" s="68"/>
      <c r="K97" s="69"/>
      <c r="L97" s="70"/>
      <c r="M97" s="82"/>
      <c r="N97" s="246"/>
      <c r="O97" s="245">
        <f>SUM(H97:L97)</f>
        <v>0</v>
      </c>
      <c r="P97" s="379"/>
      <c r="Q97" s="376"/>
      <c r="R97" s="376"/>
      <c r="S97" s="376"/>
      <c r="T97" s="376"/>
      <c r="U97" s="376"/>
      <c r="V97" s="373"/>
      <c r="W97" s="241">
        <f t="shared" si="74"/>
        <v>0</v>
      </c>
      <c r="Y97" s="67"/>
      <c r="Z97" s="68"/>
      <c r="AA97" s="68"/>
      <c r="AB97" s="69"/>
      <c r="AC97" s="70"/>
      <c r="AD97" s="82"/>
      <c r="AE97" s="246"/>
      <c r="AF97" s="245">
        <f>SUM(Y97:AC97)</f>
        <v>0</v>
      </c>
      <c r="AG97" s="379"/>
      <c r="AH97" s="376"/>
      <c r="AI97" s="376"/>
      <c r="AJ97" s="376"/>
      <c r="AK97" s="376"/>
      <c r="AL97" s="376"/>
      <c r="AM97" s="373"/>
      <c r="AN97" s="241">
        <f t="shared" si="76"/>
        <v>0</v>
      </c>
      <c r="AP97" s="67"/>
      <c r="AQ97" s="68"/>
      <c r="AR97" s="68"/>
      <c r="AS97" s="69"/>
      <c r="AT97" s="70"/>
      <c r="AU97" s="82"/>
      <c r="AV97" s="246"/>
      <c r="AW97" s="245">
        <f>SUM(AP97:AT97)</f>
        <v>0</v>
      </c>
      <c r="AX97" s="379"/>
      <c r="AY97" s="376"/>
      <c r="AZ97" s="376"/>
      <c r="BA97" s="376"/>
      <c r="BB97" s="376"/>
      <c r="BC97" s="376"/>
      <c r="BD97" s="373"/>
      <c r="BE97" s="241">
        <f t="shared" si="78"/>
        <v>0</v>
      </c>
      <c r="BG97" s="67"/>
      <c r="BH97" s="68"/>
      <c r="BI97" s="68"/>
      <c r="BJ97" s="69"/>
      <c r="BK97" s="70"/>
      <c r="BL97" s="82"/>
      <c r="BM97" s="246"/>
      <c r="BN97" s="245">
        <f>SUM(BG97:BK97)</f>
        <v>0</v>
      </c>
      <c r="BO97" s="379"/>
      <c r="BP97" s="376"/>
      <c r="BQ97" s="376"/>
      <c r="BR97" s="376"/>
      <c r="BS97" s="376"/>
      <c r="BT97" s="376"/>
      <c r="BU97" s="373"/>
      <c r="BV97" s="241">
        <f t="shared" si="80"/>
        <v>0</v>
      </c>
      <c r="BX97" s="67"/>
      <c r="BY97" s="68"/>
      <c r="BZ97" s="68"/>
      <c r="CA97" s="69"/>
      <c r="CB97" s="70"/>
      <c r="CC97" s="82"/>
      <c r="CD97" s="246"/>
      <c r="CE97" s="245">
        <f>SUM(BX97:CB97)</f>
        <v>0</v>
      </c>
      <c r="CF97" s="379"/>
      <c r="CG97" s="376"/>
      <c r="CH97" s="376"/>
      <c r="CI97" s="376"/>
      <c r="CJ97" s="376"/>
      <c r="CK97" s="376"/>
      <c r="CL97" s="373"/>
      <c r="CM97" s="241">
        <f t="shared" si="82"/>
        <v>0</v>
      </c>
      <c r="CN97" s="39"/>
      <c r="CO97" s="3"/>
      <c r="CP97" s="76">
        <f t="shared" si="83"/>
        <v>0</v>
      </c>
      <c r="CQ97" s="3"/>
      <c r="CR97" s="76">
        <f t="shared" si="84"/>
        <v>0</v>
      </c>
      <c r="CT97" s="76">
        <f t="shared" si="105"/>
        <v>0</v>
      </c>
    </row>
    <row r="98" spans="1:98" ht="15" customHeight="1" x14ac:dyDescent="0.2">
      <c r="A98" s="389"/>
      <c r="B98" s="395"/>
      <c r="C98" s="234" t="s">
        <v>481</v>
      </c>
      <c r="D98" s="220" t="s">
        <v>215</v>
      </c>
      <c r="E98" s="205" t="s">
        <v>10</v>
      </c>
      <c r="F98" s="323"/>
      <c r="H98" s="67"/>
      <c r="I98" s="68"/>
      <c r="J98" s="68"/>
      <c r="K98" s="69"/>
      <c r="L98" s="70"/>
      <c r="M98" s="82"/>
      <c r="N98" s="246"/>
      <c r="O98" s="245">
        <f>SUM(H98:L98)</f>
        <v>0</v>
      </c>
      <c r="P98" s="380"/>
      <c r="Q98" s="377"/>
      <c r="R98" s="377"/>
      <c r="S98" s="377"/>
      <c r="T98" s="377"/>
      <c r="U98" s="377"/>
      <c r="V98" s="374"/>
      <c r="W98" s="241">
        <f t="shared" si="74"/>
        <v>0</v>
      </c>
      <c r="Y98" s="67"/>
      <c r="Z98" s="68"/>
      <c r="AA98" s="68"/>
      <c r="AB98" s="69"/>
      <c r="AC98" s="70"/>
      <c r="AD98" s="82"/>
      <c r="AE98" s="246"/>
      <c r="AF98" s="245">
        <f>SUM(Y98:AC98)</f>
        <v>0</v>
      </c>
      <c r="AG98" s="380"/>
      <c r="AH98" s="377"/>
      <c r="AI98" s="377"/>
      <c r="AJ98" s="377"/>
      <c r="AK98" s="377"/>
      <c r="AL98" s="377"/>
      <c r="AM98" s="374"/>
      <c r="AN98" s="241">
        <f t="shared" si="76"/>
        <v>0</v>
      </c>
      <c r="AP98" s="67"/>
      <c r="AQ98" s="68"/>
      <c r="AR98" s="68"/>
      <c r="AS98" s="69"/>
      <c r="AT98" s="70"/>
      <c r="AU98" s="82"/>
      <c r="AV98" s="246"/>
      <c r="AW98" s="245">
        <f>SUM(AP98:AT98)</f>
        <v>0</v>
      </c>
      <c r="AX98" s="380"/>
      <c r="AY98" s="377"/>
      <c r="AZ98" s="377"/>
      <c r="BA98" s="377"/>
      <c r="BB98" s="377"/>
      <c r="BC98" s="377"/>
      <c r="BD98" s="374"/>
      <c r="BE98" s="241">
        <f t="shared" si="78"/>
        <v>0</v>
      </c>
      <c r="BG98" s="67"/>
      <c r="BH98" s="68"/>
      <c r="BI98" s="68"/>
      <c r="BJ98" s="69"/>
      <c r="BK98" s="70"/>
      <c r="BL98" s="82"/>
      <c r="BM98" s="246"/>
      <c r="BN98" s="245">
        <f>SUM(BG98:BK98)</f>
        <v>0</v>
      </c>
      <c r="BO98" s="380"/>
      <c r="BP98" s="377"/>
      <c r="BQ98" s="377"/>
      <c r="BR98" s="377"/>
      <c r="BS98" s="377"/>
      <c r="BT98" s="377"/>
      <c r="BU98" s="374"/>
      <c r="BV98" s="241">
        <f t="shared" si="80"/>
        <v>0</v>
      </c>
      <c r="BX98" s="67"/>
      <c r="BY98" s="68"/>
      <c r="BZ98" s="68"/>
      <c r="CA98" s="69"/>
      <c r="CB98" s="70"/>
      <c r="CC98" s="247"/>
      <c r="CD98" s="248"/>
      <c r="CE98" s="245">
        <f>SUM(BX98:CB98)</f>
        <v>0</v>
      </c>
      <c r="CF98" s="380"/>
      <c r="CG98" s="377"/>
      <c r="CH98" s="377"/>
      <c r="CI98" s="377"/>
      <c r="CJ98" s="377"/>
      <c r="CK98" s="377"/>
      <c r="CL98" s="374"/>
      <c r="CM98" s="241">
        <f t="shared" si="82"/>
        <v>0</v>
      </c>
      <c r="CN98" s="39"/>
      <c r="CO98" s="3"/>
      <c r="CP98" s="76">
        <f t="shared" si="83"/>
        <v>0</v>
      </c>
      <c r="CQ98" s="3"/>
      <c r="CR98" s="76">
        <f t="shared" si="84"/>
        <v>0</v>
      </c>
      <c r="CT98" s="76">
        <f t="shared" si="105"/>
        <v>0</v>
      </c>
    </row>
    <row r="99" spans="1:98" ht="15" customHeight="1" thickBot="1" x14ac:dyDescent="0.25">
      <c r="A99" s="390"/>
      <c r="B99" s="223"/>
      <c r="C99" s="224"/>
      <c r="D99" s="225" t="s">
        <v>22</v>
      </c>
      <c r="E99" s="224"/>
      <c r="F99" s="325"/>
      <c r="H99" s="141"/>
      <c r="I99" s="142"/>
      <c r="J99" s="142"/>
      <c r="K99" s="142"/>
      <c r="L99" s="142"/>
      <c r="M99" s="227"/>
      <c r="N99" s="228"/>
      <c r="O99" s="229">
        <f>SUM(O66:O98)</f>
        <v>0</v>
      </c>
      <c r="P99" s="230"/>
      <c r="Q99" s="230"/>
      <c r="R99" s="230"/>
      <c r="S99" s="230"/>
      <c r="T99" s="230"/>
      <c r="U99" s="230"/>
      <c r="V99" s="228"/>
      <c r="W99" s="229">
        <f>SUM(W66:W98)</f>
        <v>0</v>
      </c>
      <c r="Y99" s="141"/>
      <c r="Z99" s="142"/>
      <c r="AA99" s="142"/>
      <c r="AB99" s="142"/>
      <c r="AC99" s="142"/>
      <c r="AD99" s="227"/>
      <c r="AE99" s="228"/>
      <c r="AF99" s="229">
        <f>SUM(AF66:AF98)</f>
        <v>389.41181933423348</v>
      </c>
      <c r="AG99" s="230"/>
      <c r="AH99" s="230"/>
      <c r="AI99" s="230"/>
      <c r="AJ99" s="230"/>
      <c r="AK99" s="230"/>
      <c r="AL99" s="230"/>
      <c r="AM99" s="228"/>
      <c r="AN99" s="229">
        <f>SUM(AN66:AN98)</f>
        <v>472.17951023935603</v>
      </c>
      <c r="AP99" s="141"/>
      <c r="AQ99" s="142"/>
      <c r="AR99" s="142"/>
      <c r="AS99" s="142"/>
      <c r="AT99" s="142"/>
      <c r="AU99" s="227"/>
      <c r="AV99" s="228"/>
      <c r="AW99" s="229">
        <f>SUM(AW66:AW98)</f>
        <v>0</v>
      </c>
      <c r="AX99" s="230"/>
      <c r="AY99" s="230"/>
      <c r="AZ99" s="230"/>
      <c r="BA99" s="230"/>
      <c r="BB99" s="230"/>
      <c r="BC99" s="230"/>
      <c r="BD99" s="228"/>
      <c r="BE99" s="229">
        <f>SUM(BE66:BE98)</f>
        <v>0</v>
      </c>
      <c r="BG99" s="141"/>
      <c r="BH99" s="142"/>
      <c r="BI99" s="142"/>
      <c r="BJ99" s="142"/>
      <c r="BK99" s="142"/>
      <c r="BL99" s="227"/>
      <c r="BM99" s="228"/>
      <c r="BN99" s="229">
        <f>SUM(BN66:BN98)</f>
        <v>0</v>
      </c>
      <c r="BO99" s="230"/>
      <c r="BP99" s="230"/>
      <c r="BQ99" s="230"/>
      <c r="BR99" s="230"/>
      <c r="BS99" s="230"/>
      <c r="BT99" s="230"/>
      <c r="BU99" s="228"/>
      <c r="BV99" s="229">
        <f>SUM(BV66:BV98)</f>
        <v>0</v>
      </c>
      <c r="BX99" s="141"/>
      <c r="BY99" s="142"/>
      <c r="BZ99" s="142"/>
      <c r="CA99" s="142"/>
      <c r="CB99" s="142"/>
      <c r="CC99" s="227"/>
      <c r="CD99" s="228"/>
      <c r="CE99" s="229">
        <f>SUM(CE66:CE98)</f>
        <v>0</v>
      </c>
      <c r="CF99" s="230"/>
      <c r="CG99" s="230"/>
      <c r="CH99" s="230"/>
      <c r="CI99" s="230"/>
      <c r="CJ99" s="230"/>
      <c r="CK99" s="230"/>
      <c r="CL99" s="228"/>
      <c r="CM99" s="229">
        <f>SUM(CM66:CM98)</f>
        <v>0</v>
      </c>
      <c r="CN99" s="39"/>
      <c r="CO99" s="3"/>
      <c r="CP99" s="217">
        <f>SUM(CP66:CP98)</f>
        <v>389.41181933423348</v>
      </c>
      <c r="CQ99" s="3"/>
      <c r="CR99" s="217">
        <f>SUM(CR66:CR98)</f>
        <v>472.17951023935603</v>
      </c>
      <c r="CT99" s="217"/>
    </row>
    <row r="100" spans="1:98" ht="15" customHeight="1" x14ac:dyDescent="0.2">
      <c r="A100" s="388" t="s">
        <v>42</v>
      </c>
      <c r="B100" s="420" t="s">
        <v>128</v>
      </c>
      <c r="C100" s="249" t="s">
        <v>206</v>
      </c>
      <c r="D100" s="250" t="s">
        <v>439</v>
      </c>
      <c r="E100" s="236" t="s">
        <v>2</v>
      </c>
      <c r="F100" s="304">
        <f>F1*(0.004*(1.014*1.012*1.015)*1.1/1.13)*1.028</f>
        <v>4.2671676352650486E-3</v>
      </c>
      <c r="H100" s="40"/>
      <c r="I100" s="17"/>
      <c r="J100" s="17"/>
      <c r="K100" s="18"/>
      <c r="L100" s="19"/>
      <c r="M100" s="74">
        <f>SUM(H100:L100)</f>
        <v>0</v>
      </c>
      <c r="N100" s="195">
        <v>1</v>
      </c>
      <c r="O100" s="238">
        <f>$F100*M100*N100</f>
        <v>0</v>
      </c>
      <c r="P100" s="377">
        <f>VLOOKUP(P5,'Databaze rizik'!$K$2:$Z$6,7,FALSE)/100+1</f>
        <v>1.1000000000000001</v>
      </c>
      <c r="Q100" s="377">
        <f>VLOOKUP(Q5,'Databaze rizik'!$K$21:$Z$25,7,FALSE)/100+1</f>
        <v>1.07</v>
      </c>
      <c r="R100" s="377">
        <f>VLOOKUP(R5,'Databaze rizik'!$K$41:$Z$45,7,FALSE)/100+1</f>
        <v>1</v>
      </c>
      <c r="S100" s="377">
        <f>VLOOKUP(S5,'Databaze rizik'!$K$61:$Z$66,7,FALSE)/100+1</f>
        <v>1.02</v>
      </c>
      <c r="T100" s="377">
        <f>VLOOKUP(T5,'Databaze rizik'!$K$81:$Z$85,7,FALSE)/100+1</f>
        <v>1.01</v>
      </c>
      <c r="U100" s="377">
        <f>VLOOKUP(U5,'Databaze rizik'!$K$101:$Z$105,7,FALSE)/100+1</f>
        <v>1</v>
      </c>
      <c r="V100" s="372">
        <f t="shared" ref="V100" si="146">P100*Q100*R100*S100*T100*U100</f>
        <v>1.2125454000000004</v>
      </c>
      <c r="W100" s="241">
        <f t="shared" ref="W100:W119" si="147">O100*V$100</f>
        <v>0</v>
      </c>
      <c r="Y100" s="40">
        <v>12200</v>
      </c>
      <c r="Z100" s="17"/>
      <c r="AA100" s="17"/>
      <c r="AB100" s="46"/>
      <c r="AC100" s="47"/>
      <c r="AD100" s="92">
        <f>SUM(Y100:AC100)</f>
        <v>12200</v>
      </c>
      <c r="AE100" s="193">
        <v>1</v>
      </c>
      <c r="AF100" s="238">
        <f>$F100*AD100*AE100</f>
        <v>52.059445150233593</v>
      </c>
      <c r="AG100" s="377">
        <f>VLOOKUP(AG5,'Databaze rizik'!$K$2:$Z$6,7,FALSE)/100+1</f>
        <v>1.1000000000000001</v>
      </c>
      <c r="AH100" s="377">
        <f>VLOOKUP(AH5,'Databaze rizik'!$K$21:$Z$25,7,FALSE)/100+1</f>
        <v>1.07</v>
      </c>
      <c r="AI100" s="377">
        <f>VLOOKUP(AI5,'Databaze rizik'!$K$41:$Z$45,7,FALSE)/100+1</f>
        <v>1</v>
      </c>
      <c r="AJ100" s="377">
        <f>VLOOKUP(AJ5,'Databaze rizik'!$K$61:$Z$66,7,FALSE)/100+1</f>
        <v>1.02</v>
      </c>
      <c r="AK100" s="377">
        <f>VLOOKUP(AK5,'Databaze rizik'!$K$81:$Z$85,7,FALSE)/100+1</f>
        <v>1.01</v>
      </c>
      <c r="AL100" s="377">
        <f>VLOOKUP(AL5,'Databaze rizik'!$K$101:$Z$105,7,FALSE)/100+1</f>
        <v>1</v>
      </c>
      <c r="AM100" s="372">
        <f t="shared" ref="AM100" si="148">AG100*AH100*AI100*AJ100*AK100*AL100</f>
        <v>1.2125454000000004</v>
      </c>
      <c r="AN100" s="241">
        <f t="shared" ref="AN100:AN119" si="149">AF100*AM$100</f>
        <v>63.124440743468078</v>
      </c>
      <c r="AP100" s="40"/>
      <c r="AQ100" s="17"/>
      <c r="AR100" s="17"/>
      <c r="AS100" s="46"/>
      <c r="AT100" s="47"/>
      <c r="AU100" s="92">
        <f>SUM(AP100:AT100)</f>
        <v>0</v>
      </c>
      <c r="AV100" s="193">
        <v>1</v>
      </c>
      <c r="AW100" s="238">
        <f>$F100*AU100*AV100</f>
        <v>0</v>
      </c>
      <c r="AX100" s="377">
        <f>VLOOKUP(AX5,'Databaze rizik'!$K$2:$Z$6,7,FALSE)/100+1</f>
        <v>1.1000000000000001</v>
      </c>
      <c r="AY100" s="377">
        <f>VLOOKUP(AY5,'Databaze rizik'!$K$21:$Z$25,7,FALSE)/100+1</f>
        <v>1.07</v>
      </c>
      <c r="AZ100" s="377">
        <f>VLOOKUP(AZ5,'Databaze rizik'!$K$41:$Z$45,7,FALSE)/100+1</f>
        <v>1</v>
      </c>
      <c r="BA100" s="377">
        <f>VLOOKUP(BA5,'Databaze rizik'!$K$61:$Z$66,7,FALSE)/100+1</f>
        <v>1.02</v>
      </c>
      <c r="BB100" s="377">
        <f>VLOOKUP(BB5,'Databaze rizik'!$K$81:$Z$85,7,FALSE)/100+1</f>
        <v>1.01</v>
      </c>
      <c r="BC100" s="377">
        <f>VLOOKUP(BC5,'Databaze rizik'!$K$101:$Z$105,7,FALSE)/100+1</f>
        <v>1</v>
      </c>
      <c r="BD100" s="372">
        <f t="shared" ref="BD100" si="150">AX100*AY100*AZ100*BA100*BB100*BC100</f>
        <v>1.2125454000000004</v>
      </c>
      <c r="BE100" s="241">
        <f t="shared" ref="BE100:BE119" si="151">AW100*BD$100</f>
        <v>0</v>
      </c>
      <c r="BG100" s="40"/>
      <c r="BH100" s="17"/>
      <c r="BI100" s="17"/>
      <c r="BJ100" s="18"/>
      <c r="BK100" s="19"/>
      <c r="BL100" s="92">
        <f>SUM(BG100:BK100)</f>
        <v>0</v>
      </c>
      <c r="BM100" s="193">
        <v>1</v>
      </c>
      <c r="BN100" s="238">
        <f>$F100*BL100*BM100</f>
        <v>0</v>
      </c>
      <c r="BO100" s="377">
        <f>VLOOKUP(BO5,'Databaze rizik'!$K$2:$Z$6,7,FALSE)/100+1</f>
        <v>1</v>
      </c>
      <c r="BP100" s="377">
        <f>VLOOKUP(BP5,'Databaze rizik'!$K$21:$Z$25,7,FALSE)/100+1</f>
        <v>1</v>
      </c>
      <c r="BQ100" s="377">
        <f>VLOOKUP(BQ5,'Databaze rizik'!$K$41:$Z$45,7,FALSE)/100+1</f>
        <v>1</v>
      </c>
      <c r="BR100" s="377">
        <f>VLOOKUP(BR5,'Databaze rizik'!$K$61:$Z$66,7,FALSE)/100+1</f>
        <v>1.02</v>
      </c>
      <c r="BS100" s="377">
        <f>VLOOKUP(BS5,'Databaze rizik'!$K$81:$Z$85,7,FALSE)/100+1</f>
        <v>1.01</v>
      </c>
      <c r="BT100" s="377">
        <f>VLOOKUP(BT5,'Databaze rizik'!$K$101:$Z$105,7,FALSE)/100+1</f>
        <v>1</v>
      </c>
      <c r="BU100" s="372">
        <f t="shared" ref="BU100" si="152">BO100*BP100*BQ100*BR100*BS100*BT100</f>
        <v>1.0302</v>
      </c>
      <c r="BV100" s="241">
        <f t="shared" ref="BV100:BV119" si="153">BN100*BU$100</f>
        <v>0</v>
      </c>
      <c r="BX100" s="40"/>
      <c r="BY100" s="17"/>
      <c r="BZ100" s="17"/>
      <c r="CA100" s="46"/>
      <c r="CB100" s="47"/>
      <c r="CC100" s="92">
        <f>SUM(BX100:CB100)</f>
        <v>0</v>
      </c>
      <c r="CD100" s="193">
        <v>1</v>
      </c>
      <c r="CE100" s="238">
        <f>$F100*CC100*CD100</f>
        <v>0</v>
      </c>
      <c r="CF100" s="377">
        <f>VLOOKUP(CF5,'Databaze rizik'!$K$2:$Z$6,7,FALSE)/100+1</f>
        <v>1</v>
      </c>
      <c r="CG100" s="377">
        <f>VLOOKUP(CG5,'Databaze rizik'!$K$21:$Z$25,7,FALSE)/100+1</f>
        <v>1</v>
      </c>
      <c r="CH100" s="377">
        <f>VLOOKUP(CH5,'Databaze rizik'!$K$41:$Z$45,7,FALSE)/100+1</f>
        <v>1</v>
      </c>
      <c r="CI100" s="377">
        <f>VLOOKUP(CI5,'Databaze rizik'!$K$61:$Z$66,7,FALSE)/100+1</f>
        <v>1.02</v>
      </c>
      <c r="CJ100" s="377">
        <f>VLOOKUP(CJ5,'Databaze rizik'!$K$81:$Z$85,7,FALSE)/100+1</f>
        <v>1.01</v>
      </c>
      <c r="CK100" s="377">
        <f>VLOOKUP(CK5,'Databaze rizik'!$K$101:$Z$105,7,FALSE)/100+1</f>
        <v>1</v>
      </c>
      <c r="CL100" s="372">
        <f t="shared" ref="CL100" si="154">CF100*CG100*CH100*CI100*CJ100*CK100</f>
        <v>1.0302</v>
      </c>
      <c r="CM100" s="241">
        <f t="shared" ref="CM100:CM119" si="155">CE100*CL$100</f>
        <v>0</v>
      </c>
      <c r="CN100" s="39"/>
      <c r="CO100" s="3"/>
      <c r="CP100" s="77">
        <f t="shared" ref="CP100:CP119" si="156">SUMIF(H$1:CM$1,1,H100:CM100)</f>
        <v>52.059445150233593</v>
      </c>
      <c r="CQ100" s="3"/>
      <c r="CR100" s="77">
        <f t="shared" ref="CR100:CR119" si="157">SUMIF(H$1:CM$1,2,H100:CM100)</f>
        <v>63.124440743468078</v>
      </c>
      <c r="CT100" s="77">
        <f t="shared" si="105"/>
        <v>12200</v>
      </c>
    </row>
    <row r="101" spans="1:98" ht="15" customHeight="1" x14ac:dyDescent="0.2">
      <c r="A101" s="389"/>
      <c r="B101" s="399"/>
      <c r="C101" s="234" t="s">
        <v>207</v>
      </c>
      <c r="D101" s="242" t="s">
        <v>440</v>
      </c>
      <c r="E101" s="234" t="s">
        <v>2</v>
      </c>
      <c r="F101" s="301">
        <f>F1*(0.0042*(1.014*1.012*1.015)*1.1/1.13)*1.028</f>
        <v>4.4805260170283001E-3</v>
      </c>
      <c r="H101" s="43"/>
      <c r="I101" s="23"/>
      <c r="J101" s="23"/>
      <c r="K101" s="21"/>
      <c r="L101" s="25"/>
      <c r="M101" s="74">
        <f t="shared" ref="M101:M117" si="158">SUM(H101:L101)</f>
        <v>0</v>
      </c>
      <c r="N101" s="198">
        <v>1</v>
      </c>
      <c r="O101" s="241">
        <f t="shared" ref="O101:O117" si="159">$F101*M101*N101</f>
        <v>0</v>
      </c>
      <c r="P101" s="381"/>
      <c r="Q101" s="381"/>
      <c r="R101" s="381"/>
      <c r="S101" s="381"/>
      <c r="T101" s="381"/>
      <c r="U101" s="381"/>
      <c r="V101" s="373"/>
      <c r="W101" s="241">
        <f t="shared" si="147"/>
        <v>0</v>
      </c>
      <c r="Y101" s="43">
        <v>0</v>
      </c>
      <c r="Z101" s="20"/>
      <c r="AA101" s="20"/>
      <c r="AB101" s="24"/>
      <c r="AC101" s="25"/>
      <c r="AD101" s="74">
        <f t="shared" ref="AD101:AD117" si="160">SUM(Y101:AC101)</f>
        <v>0</v>
      </c>
      <c r="AE101" s="198">
        <v>1</v>
      </c>
      <c r="AF101" s="241">
        <f t="shared" ref="AF101:AF117" si="161">$F101*AD101*AE101</f>
        <v>0</v>
      </c>
      <c r="AG101" s="381"/>
      <c r="AH101" s="381"/>
      <c r="AI101" s="381"/>
      <c r="AJ101" s="381"/>
      <c r="AK101" s="381"/>
      <c r="AL101" s="381"/>
      <c r="AM101" s="373"/>
      <c r="AN101" s="241">
        <f t="shared" si="149"/>
        <v>0</v>
      </c>
      <c r="AP101" s="43"/>
      <c r="AQ101" s="20"/>
      <c r="AR101" s="20"/>
      <c r="AS101" s="24"/>
      <c r="AT101" s="25"/>
      <c r="AU101" s="74">
        <f t="shared" ref="AU101:AU117" si="162">SUM(AP101:AT101)</f>
        <v>0</v>
      </c>
      <c r="AV101" s="198">
        <v>1</v>
      </c>
      <c r="AW101" s="241">
        <f t="shared" ref="AW101:AW117" si="163">$F101*AU101*AV101</f>
        <v>0</v>
      </c>
      <c r="AX101" s="381"/>
      <c r="AY101" s="381"/>
      <c r="AZ101" s="381"/>
      <c r="BA101" s="381"/>
      <c r="BB101" s="381"/>
      <c r="BC101" s="381"/>
      <c r="BD101" s="373"/>
      <c r="BE101" s="241">
        <f t="shared" si="151"/>
        <v>0</v>
      </c>
      <c r="BG101" s="43"/>
      <c r="BH101" s="23"/>
      <c r="BI101" s="23"/>
      <c r="BJ101" s="24"/>
      <c r="BK101" s="22"/>
      <c r="BL101" s="74">
        <f t="shared" ref="BL101:BL117" si="164">SUM(BG101:BK101)</f>
        <v>0</v>
      </c>
      <c r="BM101" s="198">
        <v>1</v>
      </c>
      <c r="BN101" s="241">
        <f t="shared" ref="BN101:BN117" si="165">$F101*BL101*BM101</f>
        <v>0</v>
      </c>
      <c r="BO101" s="381"/>
      <c r="BP101" s="381"/>
      <c r="BQ101" s="381"/>
      <c r="BR101" s="381"/>
      <c r="BS101" s="381"/>
      <c r="BT101" s="381"/>
      <c r="BU101" s="373"/>
      <c r="BV101" s="241">
        <f t="shared" si="153"/>
        <v>0</v>
      </c>
      <c r="BX101" s="43"/>
      <c r="BY101" s="20"/>
      <c r="BZ101" s="20"/>
      <c r="CA101" s="24"/>
      <c r="CB101" s="25"/>
      <c r="CC101" s="74">
        <f t="shared" ref="CC101:CC117" si="166">SUM(BX101:CB101)</f>
        <v>0</v>
      </c>
      <c r="CD101" s="198">
        <v>1</v>
      </c>
      <c r="CE101" s="241">
        <f t="shared" ref="CE101:CE117" si="167">$F101*CC101*CD101</f>
        <v>0</v>
      </c>
      <c r="CF101" s="381"/>
      <c r="CG101" s="381"/>
      <c r="CH101" s="381"/>
      <c r="CI101" s="381"/>
      <c r="CJ101" s="381"/>
      <c r="CK101" s="381"/>
      <c r="CL101" s="373"/>
      <c r="CM101" s="241">
        <f t="shared" si="155"/>
        <v>0</v>
      </c>
      <c r="CN101" s="39"/>
      <c r="CO101" s="3"/>
      <c r="CP101" s="75">
        <f t="shared" si="156"/>
        <v>0</v>
      </c>
      <c r="CQ101" s="3"/>
      <c r="CR101" s="76">
        <f t="shared" si="157"/>
        <v>0</v>
      </c>
      <c r="CT101" s="76">
        <f t="shared" si="105"/>
        <v>0</v>
      </c>
    </row>
    <row r="102" spans="1:98" ht="15" customHeight="1" x14ac:dyDescent="0.2">
      <c r="A102" s="389"/>
      <c r="B102" s="399"/>
      <c r="C102" s="234" t="s">
        <v>208</v>
      </c>
      <c r="D102" s="242" t="s">
        <v>55</v>
      </c>
      <c r="E102" s="234" t="s">
        <v>2</v>
      </c>
      <c r="F102" s="301">
        <f>F1*(0.01*(1.014*1.012*1.015)*1.1/1.13)*1.028</f>
        <v>1.0667919088162619E-2</v>
      </c>
      <c r="H102" s="43"/>
      <c r="I102" s="23"/>
      <c r="J102" s="23"/>
      <c r="K102" s="24"/>
      <c r="L102" s="25"/>
      <c r="M102" s="74">
        <f t="shared" ref="M102" si="168">SUM(H102:L102)</f>
        <v>0</v>
      </c>
      <c r="N102" s="198">
        <v>1</v>
      </c>
      <c r="O102" s="241">
        <f t="shared" ref="O102" si="169">$F102*M102*N102</f>
        <v>0</v>
      </c>
      <c r="P102" s="381"/>
      <c r="Q102" s="381"/>
      <c r="R102" s="381"/>
      <c r="S102" s="381"/>
      <c r="T102" s="381"/>
      <c r="U102" s="381"/>
      <c r="V102" s="373"/>
      <c r="W102" s="241">
        <f t="shared" si="147"/>
        <v>0</v>
      </c>
      <c r="Y102" s="43">
        <v>0</v>
      </c>
      <c r="Z102" s="23"/>
      <c r="AA102" s="23"/>
      <c r="AB102" s="24"/>
      <c r="AC102" s="25"/>
      <c r="AD102" s="74">
        <f t="shared" ref="AD102" si="170">SUM(Y102:AC102)</f>
        <v>0</v>
      </c>
      <c r="AE102" s="198">
        <v>1</v>
      </c>
      <c r="AF102" s="241">
        <f t="shared" ref="AF102" si="171">$F102*AD102*AE102</f>
        <v>0</v>
      </c>
      <c r="AG102" s="381"/>
      <c r="AH102" s="381"/>
      <c r="AI102" s="381"/>
      <c r="AJ102" s="381"/>
      <c r="AK102" s="381"/>
      <c r="AL102" s="381"/>
      <c r="AM102" s="373"/>
      <c r="AN102" s="241">
        <f t="shared" si="149"/>
        <v>0</v>
      </c>
      <c r="AP102" s="43"/>
      <c r="AQ102" s="23"/>
      <c r="AR102" s="23"/>
      <c r="AS102" s="24"/>
      <c r="AT102" s="25"/>
      <c r="AU102" s="74">
        <f t="shared" ref="AU102" si="172">SUM(AP102:AT102)</f>
        <v>0</v>
      </c>
      <c r="AV102" s="198">
        <v>1</v>
      </c>
      <c r="AW102" s="241">
        <f t="shared" ref="AW102" si="173">$F102*AU102*AV102</f>
        <v>0</v>
      </c>
      <c r="AX102" s="381"/>
      <c r="AY102" s="381"/>
      <c r="AZ102" s="381"/>
      <c r="BA102" s="381"/>
      <c r="BB102" s="381"/>
      <c r="BC102" s="381"/>
      <c r="BD102" s="373"/>
      <c r="BE102" s="241">
        <f t="shared" si="151"/>
        <v>0</v>
      </c>
      <c r="BG102" s="43"/>
      <c r="BH102" s="23"/>
      <c r="BI102" s="23"/>
      <c r="BJ102" s="24"/>
      <c r="BK102" s="25"/>
      <c r="BL102" s="74">
        <f t="shared" ref="BL102" si="174">SUM(BG102:BK102)</f>
        <v>0</v>
      </c>
      <c r="BM102" s="198">
        <v>1</v>
      </c>
      <c r="BN102" s="241">
        <f t="shared" ref="BN102" si="175">$F102*BL102*BM102</f>
        <v>0</v>
      </c>
      <c r="BO102" s="381"/>
      <c r="BP102" s="381"/>
      <c r="BQ102" s="381"/>
      <c r="BR102" s="381"/>
      <c r="BS102" s="381"/>
      <c r="BT102" s="381"/>
      <c r="BU102" s="373"/>
      <c r="BV102" s="241">
        <f t="shared" si="153"/>
        <v>0</v>
      </c>
      <c r="BX102" s="43"/>
      <c r="BY102" s="23"/>
      <c r="BZ102" s="23"/>
      <c r="CA102" s="24"/>
      <c r="CB102" s="25"/>
      <c r="CC102" s="74">
        <f t="shared" ref="CC102" si="176">SUM(BX102:CB102)</f>
        <v>0</v>
      </c>
      <c r="CD102" s="198">
        <v>1</v>
      </c>
      <c r="CE102" s="241">
        <f t="shared" ref="CE102" si="177">$F102*CC102*CD102</f>
        <v>0</v>
      </c>
      <c r="CF102" s="381"/>
      <c r="CG102" s="381"/>
      <c r="CH102" s="381"/>
      <c r="CI102" s="381"/>
      <c r="CJ102" s="381"/>
      <c r="CK102" s="381"/>
      <c r="CL102" s="373"/>
      <c r="CM102" s="241">
        <f t="shared" si="155"/>
        <v>0</v>
      </c>
      <c r="CN102" s="39"/>
      <c r="CO102" s="3"/>
      <c r="CP102" s="75">
        <f t="shared" si="156"/>
        <v>0</v>
      </c>
      <c r="CQ102" s="3"/>
      <c r="CR102" s="76">
        <f t="shared" si="157"/>
        <v>0</v>
      </c>
      <c r="CT102" s="76">
        <f t="shared" si="105"/>
        <v>0</v>
      </c>
    </row>
    <row r="103" spans="1:98" ht="15" customHeight="1" x14ac:dyDescent="0.2">
      <c r="A103" s="389"/>
      <c r="B103" s="400"/>
      <c r="C103" s="234" t="s">
        <v>209</v>
      </c>
      <c r="D103" s="242" t="s">
        <v>535</v>
      </c>
      <c r="E103" s="234" t="s">
        <v>2</v>
      </c>
      <c r="F103" s="301">
        <f>F1*(0.0022*(1.014*1.012*1.015)*1.1/1.13)*1.028</f>
        <v>2.3469421993957767E-3</v>
      </c>
      <c r="H103" s="43"/>
      <c r="I103" s="23"/>
      <c r="J103" s="23"/>
      <c r="K103" s="24"/>
      <c r="L103" s="25"/>
      <c r="M103" s="74">
        <f t="shared" si="158"/>
        <v>0</v>
      </c>
      <c r="N103" s="198">
        <v>1</v>
      </c>
      <c r="O103" s="241">
        <f t="shared" si="159"/>
        <v>0</v>
      </c>
      <c r="P103" s="381"/>
      <c r="Q103" s="381"/>
      <c r="R103" s="381"/>
      <c r="S103" s="381"/>
      <c r="T103" s="381"/>
      <c r="U103" s="381"/>
      <c r="V103" s="373"/>
      <c r="W103" s="241">
        <f t="shared" si="147"/>
        <v>0</v>
      </c>
      <c r="Y103" s="43">
        <v>16100</v>
      </c>
      <c r="Z103" s="23"/>
      <c r="AA103" s="23"/>
      <c r="AB103" s="24"/>
      <c r="AC103" s="25"/>
      <c r="AD103" s="74">
        <f t="shared" si="160"/>
        <v>16100</v>
      </c>
      <c r="AE103" s="198">
        <v>1</v>
      </c>
      <c r="AF103" s="241">
        <f t="shared" si="161"/>
        <v>37.785769410272003</v>
      </c>
      <c r="AG103" s="381"/>
      <c r="AH103" s="381"/>
      <c r="AI103" s="381"/>
      <c r="AJ103" s="381"/>
      <c r="AK103" s="381"/>
      <c r="AL103" s="381"/>
      <c r="AM103" s="373"/>
      <c r="AN103" s="241">
        <f t="shared" si="149"/>
        <v>45.816960883886047</v>
      </c>
      <c r="AP103" s="43"/>
      <c r="AQ103" s="23"/>
      <c r="AR103" s="23"/>
      <c r="AS103" s="24"/>
      <c r="AT103" s="25"/>
      <c r="AU103" s="74">
        <f t="shared" si="162"/>
        <v>0</v>
      </c>
      <c r="AV103" s="198">
        <v>1</v>
      </c>
      <c r="AW103" s="241">
        <f t="shared" si="163"/>
        <v>0</v>
      </c>
      <c r="AX103" s="381"/>
      <c r="AY103" s="381"/>
      <c r="AZ103" s="381"/>
      <c r="BA103" s="381"/>
      <c r="BB103" s="381"/>
      <c r="BC103" s="381"/>
      <c r="BD103" s="373"/>
      <c r="BE103" s="241">
        <f t="shared" si="151"/>
        <v>0</v>
      </c>
      <c r="BG103" s="43"/>
      <c r="BH103" s="23"/>
      <c r="BI103" s="23"/>
      <c r="BJ103" s="24"/>
      <c r="BK103" s="25"/>
      <c r="BL103" s="74">
        <f t="shared" si="164"/>
        <v>0</v>
      </c>
      <c r="BM103" s="198">
        <v>1</v>
      </c>
      <c r="BN103" s="241">
        <f t="shared" si="165"/>
        <v>0</v>
      </c>
      <c r="BO103" s="381"/>
      <c r="BP103" s="381"/>
      <c r="BQ103" s="381"/>
      <c r="BR103" s="381"/>
      <c r="BS103" s="381"/>
      <c r="BT103" s="381"/>
      <c r="BU103" s="373"/>
      <c r="BV103" s="241">
        <f t="shared" si="153"/>
        <v>0</v>
      </c>
      <c r="BX103" s="43"/>
      <c r="BY103" s="23"/>
      <c r="BZ103" s="23"/>
      <c r="CA103" s="24"/>
      <c r="CB103" s="25"/>
      <c r="CC103" s="74">
        <f t="shared" si="166"/>
        <v>0</v>
      </c>
      <c r="CD103" s="198">
        <v>1</v>
      </c>
      <c r="CE103" s="241">
        <f t="shared" si="167"/>
        <v>0</v>
      </c>
      <c r="CF103" s="381"/>
      <c r="CG103" s="381"/>
      <c r="CH103" s="381"/>
      <c r="CI103" s="381"/>
      <c r="CJ103" s="381"/>
      <c r="CK103" s="381"/>
      <c r="CL103" s="373"/>
      <c r="CM103" s="241">
        <f t="shared" si="155"/>
        <v>0</v>
      </c>
      <c r="CN103" s="39"/>
      <c r="CO103" s="3"/>
      <c r="CP103" s="75">
        <f t="shared" si="156"/>
        <v>37.785769410272003</v>
      </c>
      <c r="CQ103" s="3"/>
      <c r="CR103" s="76">
        <f t="shared" si="157"/>
        <v>45.816960883886047</v>
      </c>
      <c r="CT103" s="76">
        <f t="shared" si="105"/>
        <v>16100</v>
      </c>
    </row>
    <row r="104" spans="1:98" ht="15" customHeight="1" x14ac:dyDescent="0.2">
      <c r="A104" s="389"/>
      <c r="B104" s="398" t="s">
        <v>129</v>
      </c>
      <c r="C104" s="234" t="s">
        <v>210</v>
      </c>
      <c r="D104" s="242" t="s">
        <v>56</v>
      </c>
      <c r="E104" s="234" t="s">
        <v>18</v>
      </c>
      <c r="F104" s="301">
        <f>F1*(0.00075*(1.014*1.012*1.015)*1.1/1.13)*1.028</f>
        <v>8.0009393161219644E-4</v>
      </c>
      <c r="H104" s="43"/>
      <c r="I104" s="23"/>
      <c r="J104" s="23"/>
      <c r="K104" s="24"/>
      <c r="L104" s="25"/>
      <c r="M104" s="74">
        <f t="shared" si="158"/>
        <v>0</v>
      </c>
      <c r="N104" s="198">
        <v>1</v>
      </c>
      <c r="O104" s="241">
        <f t="shared" si="159"/>
        <v>0</v>
      </c>
      <c r="P104" s="381"/>
      <c r="Q104" s="381"/>
      <c r="R104" s="381"/>
      <c r="S104" s="381"/>
      <c r="T104" s="381"/>
      <c r="U104" s="381"/>
      <c r="V104" s="373"/>
      <c r="W104" s="241">
        <f t="shared" si="147"/>
        <v>0</v>
      </c>
      <c r="Y104" s="43"/>
      <c r="Z104" s="23"/>
      <c r="AA104" s="23"/>
      <c r="AB104" s="24"/>
      <c r="AC104" s="25"/>
      <c r="AD104" s="74">
        <f t="shared" si="160"/>
        <v>0</v>
      </c>
      <c r="AE104" s="198">
        <v>1</v>
      </c>
      <c r="AF104" s="241">
        <f t="shared" si="161"/>
        <v>0</v>
      </c>
      <c r="AG104" s="381"/>
      <c r="AH104" s="381"/>
      <c r="AI104" s="381"/>
      <c r="AJ104" s="381"/>
      <c r="AK104" s="381"/>
      <c r="AL104" s="381"/>
      <c r="AM104" s="373"/>
      <c r="AN104" s="241">
        <f t="shared" si="149"/>
        <v>0</v>
      </c>
      <c r="AP104" s="43"/>
      <c r="AQ104" s="23"/>
      <c r="AR104" s="23"/>
      <c r="AS104" s="24"/>
      <c r="AT104" s="25"/>
      <c r="AU104" s="74">
        <f t="shared" si="162"/>
        <v>0</v>
      </c>
      <c r="AV104" s="198">
        <v>1</v>
      </c>
      <c r="AW104" s="241">
        <f t="shared" si="163"/>
        <v>0</v>
      </c>
      <c r="AX104" s="381"/>
      <c r="AY104" s="381"/>
      <c r="AZ104" s="381"/>
      <c r="BA104" s="381"/>
      <c r="BB104" s="381"/>
      <c r="BC104" s="381"/>
      <c r="BD104" s="373"/>
      <c r="BE104" s="241">
        <f t="shared" si="151"/>
        <v>0</v>
      </c>
      <c r="BG104" s="43"/>
      <c r="BH104" s="23"/>
      <c r="BI104" s="23"/>
      <c r="BJ104" s="24"/>
      <c r="BK104" s="25"/>
      <c r="BL104" s="74">
        <f t="shared" si="164"/>
        <v>0</v>
      </c>
      <c r="BM104" s="198">
        <v>1</v>
      </c>
      <c r="BN104" s="241">
        <f t="shared" si="165"/>
        <v>0</v>
      </c>
      <c r="BO104" s="381"/>
      <c r="BP104" s="381"/>
      <c r="BQ104" s="381"/>
      <c r="BR104" s="381"/>
      <c r="BS104" s="381"/>
      <c r="BT104" s="381"/>
      <c r="BU104" s="373"/>
      <c r="BV104" s="241">
        <f t="shared" si="153"/>
        <v>0</v>
      </c>
      <c r="BX104" s="43"/>
      <c r="BY104" s="23"/>
      <c r="BZ104" s="23"/>
      <c r="CA104" s="24"/>
      <c r="CB104" s="25"/>
      <c r="CC104" s="74">
        <f t="shared" si="166"/>
        <v>0</v>
      </c>
      <c r="CD104" s="198">
        <v>1</v>
      </c>
      <c r="CE104" s="241">
        <f t="shared" si="167"/>
        <v>0</v>
      </c>
      <c r="CF104" s="381"/>
      <c r="CG104" s="381"/>
      <c r="CH104" s="381"/>
      <c r="CI104" s="381"/>
      <c r="CJ104" s="381"/>
      <c r="CK104" s="381"/>
      <c r="CL104" s="373"/>
      <c r="CM104" s="241">
        <f t="shared" si="155"/>
        <v>0</v>
      </c>
      <c r="CN104" s="39"/>
      <c r="CO104" s="3"/>
      <c r="CP104" s="75">
        <f t="shared" si="156"/>
        <v>0</v>
      </c>
      <c r="CQ104" s="3"/>
      <c r="CR104" s="76">
        <f t="shared" si="157"/>
        <v>0</v>
      </c>
      <c r="CT104" s="76">
        <f t="shared" si="105"/>
        <v>0</v>
      </c>
    </row>
    <row r="105" spans="1:98" ht="15" customHeight="1" x14ac:dyDescent="0.2">
      <c r="A105" s="389"/>
      <c r="B105" s="399"/>
      <c r="C105" s="234" t="s">
        <v>211</v>
      </c>
      <c r="D105" s="242" t="s">
        <v>57</v>
      </c>
      <c r="E105" s="234" t="s">
        <v>18</v>
      </c>
      <c r="F105" s="301">
        <f>F1*(0.00085*(1.014*1.012*1.015)*1.1/1.13)*1.028</f>
        <v>9.0677312249382263E-4</v>
      </c>
      <c r="H105" s="43"/>
      <c r="I105" s="23"/>
      <c r="J105" s="23"/>
      <c r="K105" s="24"/>
      <c r="L105" s="25"/>
      <c r="M105" s="74">
        <f t="shared" si="158"/>
        <v>0</v>
      </c>
      <c r="N105" s="198">
        <v>1</v>
      </c>
      <c r="O105" s="241">
        <f t="shared" si="159"/>
        <v>0</v>
      </c>
      <c r="P105" s="381"/>
      <c r="Q105" s="381"/>
      <c r="R105" s="381"/>
      <c r="S105" s="381"/>
      <c r="T105" s="381"/>
      <c r="U105" s="381"/>
      <c r="V105" s="373"/>
      <c r="W105" s="241">
        <f t="shared" si="147"/>
        <v>0</v>
      </c>
      <c r="Y105" s="43"/>
      <c r="Z105" s="23"/>
      <c r="AA105" s="23"/>
      <c r="AB105" s="24"/>
      <c r="AC105" s="25"/>
      <c r="AD105" s="74">
        <f t="shared" si="160"/>
        <v>0</v>
      </c>
      <c r="AE105" s="198">
        <v>1</v>
      </c>
      <c r="AF105" s="241">
        <f t="shared" si="161"/>
        <v>0</v>
      </c>
      <c r="AG105" s="381"/>
      <c r="AH105" s="381"/>
      <c r="AI105" s="381"/>
      <c r="AJ105" s="381"/>
      <c r="AK105" s="381"/>
      <c r="AL105" s="381"/>
      <c r="AM105" s="373"/>
      <c r="AN105" s="241">
        <f t="shared" si="149"/>
        <v>0</v>
      </c>
      <c r="AP105" s="43"/>
      <c r="AQ105" s="23"/>
      <c r="AR105" s="23"/>
      <c r="AS105" s="24"/>
      <c r="AT105" s="25"/>
      <c r="AU105" s="74">
        <f t="shared" si="162"/>
        <v>0</v>
      </c>
      <c r="AV105" s="198">
        <v>1</v>
      </c>
      <c r="AW105" s="241">
        <f t="shared" si="163"/>
        <v>0</v>
      </c>
      <c r="AX105" s="381"/>
      <c r="AY105" s="381"/>
      <c r="AZ105" s="381"/>
      <c r="BA105" s="381"/>
      <c r="BB105" s="381"/>
      <c r="BC105" s="381"/>
      <c r="BD105" s="373"/>
      <c r="BE105" s="241">
        <f t="shared" si="151"/>
        <v>0</v>
      </c>
      <c r="BG105" s="43"/>
      <c r="BH105" s="23"/>
      <c r="BI105" s="23"/>
      <c r="BJ105" s="24"/>
      <c r="BK105" s="25"/>
      <c r="BL105" s="74">
        <f t="shared" si="164"/>
        <v>0</v>
      </c>
      <c r="BM105" s="198">
        <v>1</v>
      </c>
      <c r="BN105" s="241">
        <f t="shared" si="165"/>
        <v>0</v>
      </c>
      <c r="BO105" s="381"/>
      <c r="BP105" s="381"/>
      <c r="BQ105" s="381"/>
      <c r="BR105" s="381"/>
      <c r="BS105" s="381"/>
      <c r="BT105" s="381"/>
      <c r="BU105" s="373"/>
      <c r="BV105" s="241">
        <f t="shared" si="153"/>
        <v>0</v>
      </c>
      <c r="BX105" s="43"/>
      <c r="BY105" s="23"/>
      <c r="BZ105" s="23"/>
      <c r="CA105" s="24"/>
      <c r="CB105" s="25"/>
      <c r="CC105" s="74">
        <f t="shared" si="166"/>
        <v>0</v>
      </c>
      <c r="CD105" s="198">
        <v>1</v>
      </c>
      <c r="CE105" s="241">
        <f t="shared" si="167"/>
        <v>0</v>
      </c>
      <c r="CF105" s="381"/>
      <c r="CG105" s="381"/>
      <c r="CH105" s="381"/>
      <c r="CI105" s="381"/>
      <c r="CJ105" s="381"/>
      <c r="CK105" s="381"/>
      <c r="CL105" s="373"/>
      <c r="CM105" s="241">
        <f t="shared" si="155"/>
        <v>0</v>
      </c>
      <c r="CN105" s="39"/>
      <c r="CO105" s="3"/>
      <c r="CP105" s="75">
        <f t="shared" si="156"/>
        <v>0</v>
      </c>
      <c r="CQ105" s="3"/>
      <c r="CR105" s="76">
        <f t="shared" si="157"/>
        <v>0</v>
      </c>
      <c r="CT105" s="76">
        <f t="shared" si="105"/>
        <v>0</v>
      </c>
    </row>
    <row r="106" spans="1:98" ht="15" customHeight="1" x14ac:dyDescent="0.2">
      <c r="A106" s="389"/>
      <c r="B106" s="399"/>
      <c r="C106" s="234" t="s">
        <v>212</v>
      </c>
      <c r="D106" s="242" t="s">
        <v>63</v>
      </c>
      <c r="E106" s="234" t="s">
        <v>19</v>
      </c>
      <c r="F106" s="301">
        <f>F1*(0.00015*(1.014*1.012*1.015)*1.1/1.13)*1.028</f>
        <v>1.6001878632243932E-4</v>
      </c>
      <c r="H106" s="43"/>
      <c r="I106" s="23"/>
      <c r="J106" s="23"/>
      <c r="K106" s="24"/>
      <c r="L106" s="25"/>
      <c r="M106" s="74">
        <f t="shared" si="158"/>
        <v>0</v>
      </c>
      <c r="N106" s="198">
        <v>1</v>
      </c>
      <c r="O106" s="241">
        <f t="shared" si="159"/>
        <v>0</v>
      </c>
      <c r="P106" s="381"/>
      <c r="Q106" s="381"/>
      <c r="R106" s="381"/>
      <c r="S106" s="381"/>
      <c r="T106" s="381"/>
      <c r="U106" s="381"/>
      <c r="V106" s="373"/>
      <c r="W106" s="241">
        <f t="shared" si="147"/>
        <v>0</v>
      </c>
      <c r="Y106" s="43">
        <v>0</v>
      </c>
      <c r="Z106" s="23"/>
      <c r="AA106" s="23"/>
      <c r="AB106" s="24"/>
      <c r="AC106" s="25"/>
      <c r="AD106" s="74">
        <f t="shared" si="160"/>
        <v>0</v>
      </c>
      <c r="AE106" s="198">
        <v>1</v>
      </c>
      <c r="AF106" s="241">
        <f t="shared" si="161"/>
        <v>0</v>
      </c>
      <c r="AG106" s="381"/>
      <c r="AH106" s="381"/>
      <c r="AI106" s="381"/>
      <c r="AJ106" s="381"/>
      <c r="AK106" s="381"/>
      <c r="AL106" s="381"/>
      <c r="AM106" s="373"/>
      <c r="AN106" s="241">
        <f t="shared" si="149"/>
        <v>0</v>
      </c>
      <c r="AP106" s="43"/>
      <c r="AQ106" s="23"/>
      <c r="AR106" s="23"/>
      <c r="AS106" s="24"/>
      <c r="AT106" s="25"/>
      <c r="AU106" s="74">
        <f t="shared" si="162"/>
        <v>0</v>
      </c>
      <c r="AV106" s="198">
        <v>1</v>
      </c>
      <c r="AW106" s="241">
        <f t="shared" si="163"/>
        <v>0</v>
      </c>
      <c r="AX106" s="381"/>
      <c r="AY106" s="381"/>
      <c r="AZ106" s="381"/>
      <c r="BA106" s="381"/>
      <c r="BB106" s="381"/>
      <c r="BC106" s="381"/>
      <c r="BD106" s="373"/>
      <c r="BE106" s="241">
        <f t="shared" si="151"/>
        <v>0</v>
      </c>
      <c r="BG106" s="43"/>
      <c r="BH106" s="23"/>
      <c r="BI106" s="23"/>
      <c r="BJ106" s="24"/>
      <c r="BK106" s="25"/>
      <c r="BL106" s="74">
        <f t="shared" si="164"/>
        <v>0</v>
      </c>
      <c r="BM106" s="198">
        <v>1</v>
      </c>
      <c r="BN106" s="241">
        <f t="shared" si="165"/>
        <v>0</v>
      </c>
      <c r="BO106" s="381"/>
      <c r="BP106" s="381"/>
      <c r="BQ106" s="381"/>
      <c r="BR106" s="381"/>
      <c r="BS106" s="381"/>
      <c r="BT106" s="381"/>
      <c r="BU106" s="373"/>
      <c r="BV106" s="241">
        <f t="shared" si="153"/>
        <v>0</v>
      </c>
      <c r="BX106" s="43"/>
      <c r="BY106" s="23"/>
      <c r="BZ106" s="23"/>
      <c r="CA106" s="24"/>
      <c r="CB106" s="25"/>
      <c r="CC106" s="74">
        <f t="shared" si="166"/>
        <v>0</v>
      </c>
      <c r="CD106" s="198">
        <v>1</v>
      </c>
      <c r="CE106" s="241">
        <f t="shared" si="167"/>
        <v>0</v>
      </c>
      <c r="CF106" s="381"/>
      <c r="CG106" s="381"/>
      <c r="CH106" s="381"/>
      <c r="CI106" s="381"/>
      <c r="CJ106" s="381"/>
      <c r="CK106" s="381"/>
      <c r="CL106" s="373"/>
      <c r="CM106" s="241">
        <f t="shared" si="155"/>
        <v>0</v>
      </c>
      <c r="CN106" s="39"/>
      <c r="CO106" s="3"/>
      <c r="CP106" s="75">
        <f t="shared" si="156"/>
        <v>0</v>
      </c>
      <c r="CQ106" s="3"/>
      <c r="CR106" s="76">
        <f t="shared" si="157"/>
        <v>0</v>
      </c>
      <c r="CT106" s="76">
        <f t="shared" si="105"/>
        <v>0</v>
      </c>
    </row>
    <row r="107" spans="1:98" ht="15" customHeight="1" x14ac:dyDescent="0.2">
      <c r="A107" s="389"/>
      <c r="B107" s="399"/>
      <c r="C107" s="234" t="s">
        <v>388</v>
      </c>
      <c r="D107" s="242" t="s">
        <v>429</v>
      </c>
      <c r="E107" s="234" t="s">
        <v>59</v>
      </c>
      <c r="F107" s="301">
        <f>F1*(0.0015*(1.014*1.012*1.015)*1.1/1.13)*1.028</f>
        <v>1.6001878632243929E-3</v>
      </c>
      <c r="H107" s="43"/>
      <c r="I107" s="23"/>
      <c r="J107" s="23"/>
      <c r="K107" s="24"/>
      <c r="L107" s="25"/>
      <c r="M107" s="74">
        <f t="shared" si="158"/>
        <v>0</v>
      </c>
      <c r="N107" s="198">
        <v>1</v>
      </c>
      <c r="O107" s="241">
        <f t="shared" si="159"/>
        <v>0</v>
      </c>
      <c r="P107" s="381"/>
      <c r="Q107" s="381"/>
      <c r="R107" s="381"/>
      <c r="S107" s="381"/>
      <c r="T107" s="381"/>
      <c r="U107" s="381"/>
      <c r="V107" s="373"/>
      <c r="W107" s="241">
        <f t="shared" si="147"/>
        <v>0</v>
      </c>
      <c r="Y107" s="43"/>
      <c r="Z107" s="23"/>
      <c r="AA107" s="23"/>
      <c r="AB107" s="24"/>
      <c r="AC107" s="25"/>
      <c r="AD107" s="74">
        <f t="shared" si="160"/>
        <v>0</v>
      </c>
      <c r="AE107" s="198">
        <v>1</v>
      </c>
      <c r="AF107" s="241">
        <f t="shared" si="161"/>
        <v>0</v>
      </c>
      <c r="AG107" s="381"/>
      <c r="AH107" s="381"/>
      <c r="AI107" s="381"/>
      <c r="AJ107" s="381"/>
      <c r="AK107" s="381"/>
      <c r="AL107" s="381"/>
      <c r="AM107" s="373"/>
      <c r="AN107" s="241">
        <f t="shared" si="149"/>
        <v>0</v>
      </c>
      <c r="AP107" s="43"/>
      <c r="AQ107" s="23"/>
      <c r="AR107" s="23"/>
      <c r="AS107" s="24"/>
      <c r="AT107" s="25"/>
      <c r="AU107" s="74">
        <f t="shared" si="162"/>
        <v>0</v>
      </c>
      <c r="AV107" s="198">
        <v>1</v>
      </c>
      <c r="AW107" s="241">
        <f t="shared" si="163"/>
        <v>0</v>
      </c>
      <c r="AX107" s="381"/>
      <c r="AY107" s="381"/>
      <c r="AZ107" s="381"/>
      <c r="BA107" s="381"/>
      <c r="BB107" s="381"/>
      <c r="BC107" s="381"/>
      <c r="BD107" s="373"/>
      <c r="BE107" s="241">
        <f t="shared" si="151"/>
        <v>0</v>
      </c>
      <c r="BG107" s="43"/>
      <c r="BH107" s="23"/>
      <c r="BI107" s="23"/>
      <c r="BJ107" s="24"/>
      <c r="BK107" s="25"/>
      <c r="BL107" s="74">
        <f t="shared" si="164"/>
        <v>0</v>
      </c>
      <c r="BM107" s="198">
        <v>1</v>
      </c>
      <c r="BN107" s="241">
        <f t="shared" si="165"/>
        <v>0</v>
      </c>
      <c r="BO107" s="381"/>
      <c r="BP107" s="381"/>
      <c r="BQ107" s="381"/>
      <c r="BR107" s="381"/>
      <c r="BS107" s="381"/>
      <c r="BT107" s="381"/>
      <c r="BU107" s="373"/>
      <c r="BV107" s="241">
        <f t="shared" si="153"/>
        <v>0</v>
      </c>
      <c r="BX107" s="43"/>
      <c r="BY107" s="23"/>
      <c r="BZ107" s="23"/>
      <c r="CA107" s="24"/>
      <c r="CB107" s="25"/>
      <c r="CC107" s="74">
        <f t="shared" si="166"/>
        <v>0</v>
      </c>
      <c r="CD107" s="198">
        <v>1</v>
      </c>
      <c r="CE107" s="241">
        <f t="shared" si="167"/>
        <v>0</v>
      </c>
      <c r="CF107" s="381"/>
      <c r="CG107" s="381"/>
      <c r="CH107" s="381"/>
      <c r="CI107" s="381"/>
      <c r="CJ107" s="381"/>
      <c r="CK107" s="381"/>
      <c r="CL107" s="373"/>
      <c r="CM107" s="241">
        <f t="shared" si="155"/>
        <v>0</v>
      </c>
      <c r="CN107" s="39"/>
      <c r="CO107" s="3"/>
      <c r="CP107" s="75">
        <f t="shared" si="156"/>
        <v>0</v>
      </c>
      <c r="CQ107" s="3"/>
      <c r="CR107" s="76">
        <f t="shared" si="157"/>
        <v>0</v>
      </c>
      <c r="CT107" s="76">
        <f t="shared" si="105"/>
        <v>0</v>
      </c>
    </row>
    <row r="108" spans="1:98" ht="15" customHeight="1" x14ac:dyDescent="0.2">
      <c r="A108" s="389"/>
      <c r="B108" s="399"/>
      <c r="C108" s="234" t="s">
        <v>454</v>
      </c>
      <c r="D108" s="242" t="s">
        <v>60</v>
      </c>
      <c r="E108" s="234" t="s">
        <v>59</v>
      </c>
      <c r="F108" s="301">
        <f>F1*(0.0095*(1.014*1.012*1.015)*1.1/1.13)*1.028</f>
        <v>1.0134523133754488E-2</v>
      </c>
      <c r="H108" s="43"/>
      <c r="I108" s="23"/>
      <c r="J108" s="23"/>
      <c r="K108" s="24"/>
      <c r="L108" s="25"/>
      <c r="M108" s="74">
        <f t="shared" si="158"/>
        <v>0</v>
      </c>
      <c r="N108" s="198">
        <v>1</v>
      </c>
      <c r="O108" s="241">
        <f t="shared" si="159"/>
        <v>0</v>
      </c>
      <c r="P108" s="381"/>
      <c r="Q108" s="381"/>
      <c r="R108" s="381"/>
      <c r="S108" s="381"/>
      <c r="T108" s="381"/>
      <c r="U108" s="381"/>
      <c r="V108" s="373"/>
      <c r="W108" s="241">
        <f t="shared" si="147"/>
        <v>0</v>
      </c>
      <c r="Y108" s="43"/>
      <c r="Z108" s="23"/>
      <c r="AA108" s="23"/>
      <c r="AB108" s="24"/>
      <c r="AC108" s="25"/>
      <c r="AD108" s="74">
        <f t="shared" si="160"/>
        <v>0</v>
      </c>
      <c r="AE108" s="198">
        <v>1</v>
      </c>
      <c r="AF108" s="241">
        <f t="shared" si="161"/>
        <v>0</v>
      </c>
      <c r="AG108" s="381"/>
      <c r="AH108" s="381"/>
      <c r="AI108" s="381"/>
      <c r="AJ108" s="381"/>
      <c r="AK108" s="381"/>
      <c r="AL108" s="381"/>
      <c r="AM108" s="373"/>
      <c r="AN108" s="241">
        <f t="shared" si="149"/>
        <v>0</v>
      </c>
      <c r="AP108" s="43"/>
      <c r="AQ108" s="23"/>
      <c r="AR108" s="23"/>
      <c r="AS108" s="24"/>
      <c r="AT108" s="25"/>
      <c r="AU108" s="74">
        <f t="shared" si="162"/>
        <v>0</v>
      </c>
      <c r="AV108" s="198">
        <v>1</v>
      </c>
      <c r="AW108" s="241">
        <f t="shared" si="163"/>
        <v>0</v>
      </c>
      <c r="AX108" s="381"/>
      <c r="AY108" s="381"/>
      <c r="AZ108" s="381"/>
      <c r="BA108" s="381"/>
      <c r="BB108" s="381"/>
      <c r="BC108" s="381"/>
      <c r="BD108" s="373"/>
      <c r="BE108" s="241">
        <f t="shared" si="151"/>
        <v>0</v>
      </c>
      <c r="BG108" s="43"/>
      <c r="BH108" s="23"/>
      <c r="BI108" s="23"/>
      <c r="BJ108" s="24"/>
      <c r="BK108" s="25"/>
      <c r="BL108" s="74">
        <f t="shared" si="164"/>
        <v>0</v>
      </c>
      <c r="BM108" s="198">
        <v>1</v>
      </c>
      <c r="BN108" s="241">
        <f t="shared" si="165"/>
        <v>0</v>
      </c>
      <c r="BO108" s="381"/>
      <c r="BP108" s="381"/>
      <c r="BQ108" s="381"/>
      <c r="BR108" s="381"/>
      <c r="BS108" s="381"/>
      <c r="BT108" s="381"/>
      <c r="BU108" s="373"/>
      <c r="BV108" s="241">
        <f t="shared" si="153"/>
        <v>0</v>
      </c>
      <c r="BX108" s="43"/>
      <c r="BY108" s="23"/>
      <c r="BZ108" s="23"/>
      <c r="CA108" s="24"/>
      <c r="CB108" s="25"/>
      <c r="CC108" s="74">
        <f t="shared" si="166"/>
        <v>0</v>
      </c>
      <c r="CD108" s="198">
        <v>1</v>
      </c>
      <c r="CE108" s="241">
        <f t="shared" si="167"/>
        <v>0</v>
      </c>
      <c r="CF108" s="381"/>
      <c r="CG108" s="381"/>
      <c r="CH108" s="381"/>
      <c r="CI108" s="381"/>
      <c r="CJ108" s="381"/>
      <c r="CK108" s="381"/>
      <c r="CL108" s="373"/>
      <c r="CM108" s="241">
        <f t="shared" si="155"/>
        <v>0</v>
      </c>
      <c r="CN108" s="39"/>
      <c r="CO108" s="3"/>
      <c r="CP108" s="75">
        <f t="shared" si="156"/>
        <v>0</v>
      </c>
      <c r="CQ108" s="3"/>
      <c r="CR108" s="76">
        <f t="shared" si="157"/>
        <v>0</v>
      </c>
      <c r="CT108" s="76">
        <f t="shared" si="105"/>
        <v>0</v>
      </c>
    </row>
    <row r="109" spans="1:98" ht="15" customHeight="1" x14ac:dyDescent="0.2">
      <c r="A109" s="389"/>
      <c r="B109" s="400"/>
      <c r="C109" s="234" t="s">
        <v>455</v>
      </c>
      <c r="D109" s="242" t="s">
        <v>61</v>
      </c>
      <c r="E109" s="234" t="s">
        <v>59</v>
      </c>
      <c r="F109" s="301">
        <f>F1*(0.0025*(1.014*1.012*1.015)*1.1/1.13)*1.028</f>
        <v>2.6669797720406548E-3</v>
      </c>
      <c r="H109" s="43"/>
      <c r="I109" s="23"/>
      <c r="J109" s="23"/>
      <c r="K109" s="24"/>
      <c r="L109" s="25"/>
      <c r="M109" s="74">
        <f t="shared" si="158"/>
        <v>0</v>
      </c>
      <c r="N109" s="198">
        <v>1</v>
      </c>
      <c r="O109" s="241">
        <f t="shared" si="159"/>
        <v>0</v>
      </c>
      <c r="P109" s="381"/>
      <c r="Q109" s="381"/>
      <c r="R109" s="381"/>
      <c r="S109" s="381"/>
      <c r="T109" s="381"/>
      <c r="U109" s="381"/>
      <c r="V109" s="373"/>
      <c r="W109" s="241">
        <f t="shared" si="147"/>
        <v>0</v>
      </c>
      <c r="Y109" s="43">
        <v>4800</v>
      </c>
      <c r="Z109" s="23"/>
      <c r="AA109" s="23"/>
      <c r="AB109" s="24"/>
      <c r="AC109" s="25"/>
      <c r="AD109" s="74">
        <f t="shared" si="160"/>
        <v>4800</v>
      </c>
      <c r="AE109" s="364">
        <v>0.5</v>
      </c>
      <c r="AF109" s="241">
        <f t="shared" si="161"/>
        <v>6.4007514528975715</v>
      </c>
      <c r="AG109" s="381"/>
      <c r="AH109" s="381"/>
      <c r="AI109" s="381"/>
      <c r="AJ109" s="381"/>
      <c r="AK109" s="381"/>
      <c r="AL109" s="381"/>
      <c r="AM109" s="373"/>
      <c r="AN109" s="241">
        <f t="shared" si="149"/>
        <v>7.7612017307542702</v>
      </c>
      <c r="AP109" s="43"/>
      <c r="AQ109" s="23"/>
      <c r="AR109" s="23"/>
      <c r="AS109" s="24"/>
      <c r="AT109" s="25"/>
      <c r="AU109" s="74">
        <f t="shared" si="162"/>
        <v>0</v>
      </c>
      <c r="AV109" s="198">
        <v>1</v>
      </c>
      <c r="AW109" s="241">
        <f t="shared" si="163"/>
        <v>0</v>
      </c>
      <c r="AX109" s="381"/>
      <c r="AY109" s="381"/>
      <c r="AZ109" s="381"/>
      <c r="BA109" s="381"/>
      <c r="BB109" s="381"/>
      <c r="BC109" s="381"/>
      <c r="BD109" s="373"/>
      <c r="BE109" s="241">
        <f t="shared" si="151"/>
        <v>0</v>
      </c>
      <c r="BG109" s="43"/>
      <c r="BH109" s="23"/>
      <c r="BI109" s="23"/>
      <c r="BJ109" s="24"/>
      <c r="BK109" s="25"/>
      <c r="BL109" s="74">
        <f t="shared" si="164"/>
        <v>0</v>
      </c>
      <c r="BM109" s="198">
        <v>1</v>
      </c>
      <c r="BN109" s="241">
        <f t="shared" si="165"/>
        <v>0</v>
      </c>
      <c r="BO109" s="381"/>
      <c r="BP109" s="381"/>
      <c r="BQ109" s="381"/>
      <c r="BR109" s="381"/>
      <c r="BS109" s="381"/>
      <c r="BT109" s="381"/>
      <c r="BU109" s="373"/>
      <c r="BV109" s="241">
        <f t="shared" si="153"/>
        <v>0</v>
      </c>
      <c r="BX109" s="43"/>
      <c r="BY109" s="23"/>
      <c r="BZ109" s="23"/>
      <c r="CA109" s="24"/>
      <c r="CB109" s="25"/>
      <c r="CC109" s="74">
        <f t="shared" si="166"/>
        <v>0</v>
      </c>
      <c r="CD109" s="198">
        <v>1</v>
      </c>
      <c r="CE109" s="241">
        <f t="shared" si="167"/>
        <v>0</v>
      </c>
      <c r="CF109" s="381"/>
      <c r="CG109" s="381"/>
      <c r="CH109" s="381"/>
      <c r="CI109" s="381"/>
      <c r="CJ109" s="381"/>
      <c r="CK109" s="381"/>
      <c r="CL109" s="373"/>
      <c r="CM109" s="241">
        <f t="shared" si="155"/>
        <v>0</v>
      </c>
      <c r="CN109" s="39"/>
      <c r="CO109" s="3"/>
      <c r="CP109" s="75">
        <f t="shared" si="156"/>
        <v>6.4007514528975715</v>
      </c>
      <c r="CQ109" s="3"/>
      <c r="CR109" s="76">
        <f t="shared" si="157"/>
        <v>7.7612017307542702</v>
      </c>
      <c r="CT109" s="76">
        <f t="shared" si="105"/>
        <v>4800</v>
      </c>
    </row>
    <row r="110" spans="1:98" ht="15" customHeight="1" x14ac:dyDescent="0.2">
      <c r="A110" s="389"/>
      <c r="B110" s="394" t="s">
        <v>133</v>
      </c>
      <c r="C110" s="234" t="s">
        <v>456</v>
      </c>
      <c r="D110" s="242" t="s">
        <v>62</v>
      </c>
      <c r="E110" s="234" t="s">
        <v>19</v>
      </c>
      <c r="F110" s="301">
        <f>F1*(0.0003*(1.014*1.012*1.015)*1.1/1.13)*1.028</f>
        <v>3.2003757264487863E-4</v>
      </c>
      <c r="H110" s="48"/>
      <c r="I110" s="49"/>
      <c r="J110" s="49"/>
      <c r="K110" s="24"/>
      <c r="L110" s="25"/>
      <c r="M110" s="74">
        <f t="shared" si="158"/>
        <v>0</v>
      </c>
      <c r="N110" s="198">
        <v>1</v>
      </c>
      <c r="O110" s="241">
        <f t="shared" si="159"/>
        <v>0</v>
      </c>
      <c r="P110" s="381"/>
      <c r="Q110" s="381"/>
      <c r="R110" s="381"/>
      <c r="S110" s="381"/>
      <c r="T110" s="381"/>
      <c r="U110" s="381"/>
      <c r="V110" s="373"/>
      <c r="W110" s="241">
        <f t="shared" si="147"/>
        <v>0</v>
      </c>
      <c r="Y110" s="48"/>
      <c r="Z110" s="49"/>
      <c r="AA110" s="49"/>
      <c r="AB110" s="24"/>
      <c r="AC110" s="25"/>
      <c r="AD110" s="74">
        <f t="shared" si="160"/>
        <v>0</v>
      </c>
      <c r="AE110" s="198">
        <v>1</v>
      </c>
      <c r="AF110" s="241">
        <f t="shared" si="161"/>
        <v>0</v>
      </c>
      <c r="AG110" s="381"/>
      <c r="AH110" s="381"/>
      <c r="AI110" s="381"/>
      <c r="AJ110" s="381"/>
      <c r="AK110" s="381"/>
      <c r="AL110" s="381"/>
      <c r="AM110" s="373"/>
      <c r="AN110" s="241">
        <f t="shared" si="149"/>
        <v>0</v>
      </c>
      <c r="AP110" s="48"/>
      <c r="AQ110" s="49"/>
      <c r="AR110" s="49"/>
      <c r="AS110" s="24"/>
      <c r="AT110" s="25"/>
      <c r="AU110" s="74">
        <f t="shared" si="162"/>
        <v>0</v>
      </c>
      <c r="AV110" s="198">
        <v>1</v>
      </c>
      <c r="AW110" s="241">
        <f t="shared" si="163"/>
        <v>0</v>
      </c>
      <c r="AX110" s="381"/>
      <c r="AY110" s="381"/>
      <c r="AZ110" s="381"/>
      <c r="BA110" s="381"/>
      <c r="BB110" s="381"/>
      <c r="BC110" s="381"/>
      <c r="BD110" s="373"/>
      <c r="BE110" s="241">
        <f t="shared" si="151"/>
        <v>0</v>
      </c>
      <c r="BG110" s="48"/>
      <c r="BH110" s="49"/>
      <c r="BI110" s="49"/>
      <c r="BJ110" s="24"/>
      <c r="BK110" s="25"/>
      <c r="BL110" s="74">
        <f t="shared" si="164"/>
        <v>0</v>
      </c>
      <c r="BM110" s="198">
        <v>1</v>
      </c>
      <c r="BN110" s="241">
        <f t="shared" si="165"/>
        <v>0</v>
      </c>
      <c r="BO110" s="381"/>
      <c r="BP110" s="381"/>
      <c r="BQ110" s="381"/>
      <c r="BR110" s="381"/>
      <c r="BS110" s="381"/>
      <c r="BT110" s="381"/>
      <c r="BU110" s="373"/>
      <c r="BV110" s="241">
        <f t="shared" si="153"/>
        <v>0</v>
      </c>
      <c r="BX110" s="48"/>
      <c r="BY110" s="49"/>
      <c r="BZ110" s="49"/>
      <c r="CA110" s="24"/>
      <c r="CB110" s="25"/>
      <c r="CC110" s="74">
        <f t="shared" si="166"/>
        <v>0</v>
      </c>
      <c r="CD110" s="198">
        <v>1</v>
      </c>
      <c r="CE110" s="241">
        <f t="shared" si="167"/>
        <v>0</v>
      </c>
      <c r="CF110" s="381"/>
      <c r="CG110" s="381"/>
      <c r="CH110" s="381"/>
      <c r="CI110" s="381"/>
      <c r="CJ110" s="381"/>
      <c r="CK110" s="381"/>
      <c r="CL110" s="373"/>
      <c r="CM110" s="241">
        <f t="shared" si="155"/>
        <v>0</v>
      </c>
      <c r="CN110" s="39"/>
      <c r="CO110" s="3"/>
      <c r="CP110" s="75">
        <f t="shared" si="156"/>
        <v>0</v>
      </c>
      <c r="CQ110" s="3"/>
      <c r="CR110" s="76">
        <f t="shared" si="157"/>
        <v>0</v>
      </c>
      <c r="CT110" s="76">
        <f t="shared" si="105"/>
        <v>0</v>
      </c>
    </row>
    <row r="111" spans="1:98" ht="15" customHeight="1" x14ac:dyDescent="0.2">
      <c r="A111" s="389"/>
      <c r="B111" s="395"/>
      <c r="C111" s="234" t="s">
        <v>457</v>
      </c>
      <c r="D111" s="242" t="s">
        <v>242</v>
      </c>
      <c r="E111" s="251" t="s">
        <v>15</v>
      </c>
      <c r="F111" s="303">
        <f>F1*(0.6*(1.014*1.012*1.015)*1.1/1.13)*1.028</f>
        <v>0.64007514528975717</v>
      </c>
      <c r="H111" s="43"/>
      <c r="I111" s="23"/>
      <c r="J111" s="23"/>
      <c r="K111" s="24"/>
      <c r="L111" s="25"/>
      <c r="M111" s="74">
        <f t="shared" ref="M111" si="178">SUM(H111:L111)</f>
        <v>0</v>
      </c>
      <c r="N111" s="198">
        <v>1</v>
      </c>
      <c r="O111" s="241">
        <f t="shared" ref="O111" si="179">$F111*M111*N111</f>
        <v>0</v>
      </c>
      <c r="P111" s="381"/>
      <c r="Q111" s="381"/>
      <c r="R111" s="381"/>
      <c r="S111" s="381"/>
      <c r="T111" s="381"/>
      <c r="U111" s="381"/>
      <c r="V111" s="373"/>
      <c r="W111" s="241">
        <f t="shared" si="147"/>
        <v>0</v>
      </c>
      <c r="Y111" s="43">
        <v>1.804000000000002</v>
      </c>
      <c r="Z111" s="23"/>
      <c r="AA111" s="23"/>
      <c r="AB111" s="24"/>
      <c r="AC111" s="25"/>
      <c r="AD111" s="74">
        <f t="shared" ref="AD111" si="180">SUM(Y111:AC111)</f>
        <v>1.804000000000002</v>
      </c>
      <c r="AE111" s="198">
        <v>1</v>
      </c>
      <c r="AF111" s="241">
        <f t="shared" ref="AF111" si="181">$F111*AD111*AE111</f>
        <v>1.1546955621027233</v>
      </c>
      <c r="AG111" s="381"/>
      <c r="AH111" s="381"/>
      <c r="AI111" s="381"/>
      <c r="AJ111" s="381"/>
      <c r="AK111" s="381"/>
      <c r="AL111" s="381"/>
      <c r="AM111" s="373"/>
      <c r="AN111" s="241">
        <f t="shared" si="149"/>
        <v>1.4001207922280718</v>
      </c>
      <c r="AP111" s="43"/>
      <c r="AQ111" s="23"/>
      <c r="AR111" s="23"/>
      <c r="AS111" s="24"/>
      <c r="AT111" s="25"/>
      <c r="AU111" s="74">
        <f t="shared" ref="AU111" si="182">SUM(AP111:AT111)</f>
        <v>0</v>
      </c>
      <c r="AV111" s="198">
        <v>1</v>
      </c>
      <c r="AW111" s="241">
        <f t="shared" ref="AW111" si="183">$F111*AU111*AV111</f>
        <v>0</v>
      </c>
      <c r="AX111" s="381"/>
      <c r="AY111" s="381"/>
      <c r="AZ111" s="381"/>
      <c r="BA111" s="381"/>
      <c r="BB111" s="381"/>
      <c r="BC111" s="381"/>
      <c r="BD111" s="373"/>
      <c r="BE111" s="241">
        <f t="shared" si="151"/>
        <v>0</v>
      </c>
      <c r="BG111" s="43"/>
      <c r="BH111" s="23"/>
      <c r="BI111" s="23"/>
      <c r="BJ111" s="24"/>
      <c r="BK111" s="25"/>
      <c r="BL111" s="74">
        <f t="shared" ref="BL111" si="184">SUM(BG111:BK111)</f>
        <v>0</v>
      </c>
      <c r="BM111" s="198">
        <v>1</v>
      </c>
      <c r="BN111" s="241">
        <f t="shared" ref="BN111" si="185">$F111*BL111*BM111</f>
        <v>0</v>
      </c>
      <c r="BO111" s="381"/>
      <c r="BP111" s="381"/>
      <c r="BQ111" s="381"/>
      <c r="BR111" s="381"/>
      <c r="BS111" s="381"/>
      <c r="BT111" s="381"/>
      <c r="BU111" s="373"/>
      <c r="BV111" s="241">
        <f t="shared" si="153"/>
        <v>0</v>
      </c>
      <c r="BX111" s="43"/>
      <c r="BY111" s="23"/>
      <c r="BZ111" s="23"/>
      <c r="CA111" s="24"/>
      <c r="CB111" s="25"/>
      <c r="CC111" s="74">
        <f t="shared" ref="CC111" si="186">SUM(BX111:CB111)</f>
        <v>0</v>
      </c>
      <c r="CD111" s="198">
        <v>1</v>
      </c>
      <c r="CE111" s="241">
        <f t="shared" ref="CE111" si="187">$F111*CC111*CD111</f>
        <v>0</v>
      </c>
      <c r="CF111" s="381"/>
      <c r="CG111" s="381"/>
      <c r="CH111" s="381"/>
      <c r="CI111" s="381"/>
      <c r="CJ111" s="381"/>
      <c r="CK111" s="381"/>
      <c r="CL111" s="373"/>
      <c r="CM111" s="241">
        <f t="shared" si="155"/>
        <v>0</v>
      </c>
      <c r="CN111" s="39"/>
      <c r="CO111" s="3"/>
      <c r="CP111" s="75">
        <f t="shared" si="156"/>
        <v>1.1546955621027233</v>
      </c>
      <c r="CQ111" s="3"/>
      <c r="CR111" s="76">
        <f t="shared" si="157"/>
        <v>1.4001207922280718</v>
      </c>
      <c r="CT111" s="76">
        <f t="shared" si="105"/>
        <v>1.804000000000002</v>
      </c>
    </row>
    <row r="112" spans="1:98" ht="15" customHeight="1" x14ac:dyDescent="0.2">
      <c r="A112" s="389"/>
      <c r="B112" s="395"/>
      <c r="C112" s="234" t="s">
        <v>458</v>
      </c>
      <c r="D112" s="242" t="s">
        <v>64</v>
      </c>
      <c r="E112" s="234" t="s">
        <v>19</v>
      </c>
      <c r="F112" s="301">
        <f>F1*(0.0003*(1.014*1.012*1.015)*1.1/1.13)*1.028</f>
        <v>3.2003757264487863E-4</v>
      </c>
      <c r="H112" s="40"/>
      <c r="I112" s="17"/>
      <c r="J112" s="17"/>
      <c r="K112" s="18"/>
      <c r="L112" s="19"/>
      <c r="M112" s="74">
        <f t="shared" si="158"/>
        <v>0</v>
      </c>
      <c r="N112" s="198">
        <v>1</v>
      </c>
      <c r="O112" s="241">
        <f t="shared" si="159"/>
        <v>0</v>
      </c>
      <c r="P112" s="381"/>
      <c r="Q112" s="381"/>
      <c r="R112" s="381"/>
      <c r="S112" s="381"/>
      <c r="T112" s="381"/>
      <c r="U112" s="381"/>
      <c r="V112" s="373"/>
      <c r="W112" s="241">
        <f t="shared" si="147"/>
        <v>0</v>
      </c>
      <c r="Y112" s="40">
        <v>9500</v>
      </c>
      <c r="Z112" s="17"/>
      <c r="AA112" s="17"/>
      <c r="AB112" s="18"/>
      <c r="AC112" s="19"/>
      <c r="AD112" s="74">
        <f t="shared" si="160"/>
        <v>9500</v>
      </c>
      <c r="AE112" s="198">
        <v>1</v>
      </c>
      <c r="AF112" s="241">
        <f t="shared" si="161"/>
        <v>3.0403569401263471</v>
      </c>
      <c r="AG112" s="381"/>
      <c r="AH112" s="381"/>
      <c r="AI112" s="381"/>
      <c r="AJ112" s="381"/>
      <c r="AK112" s="381"/>
      <c r="AL112" s="381"/>
      <c r="AM112" s="373"/>
      <c r="AN112" s="241">
        <f t="shared" si="149"/>
        <v>3.6865708221082789</v>
      </c>
      <c r="AP112" s="40"/>
      <c r="AQ112" s="17"/>
      <c r="AR112" s="17"/>
      <c r="AS112" s="18"/>
      <c r="AT112" s="19"/>
      <c r="AU112" s="74">
        <f t="shared" si="162"/>
        <v>0</v>
      </c>
      <c r="AV112" s="198">
        <v>1</v>
      </c>
      <c r="AW112" s="241">
        <f t="shared" si="163"/>
        <v>0</v>
      </c>
      <c r="AX112" s="381"/>
      <c r="AY112" s="381"/>
      <c r="AZ112" s="381"/>
      <c r="BA112" s="381"/>
      <c r="BB112" s="381"/>
      <c r="BC112" s="381"/>
      <c r="BD112" s="373"/>
      <c r="BE112" s="241">
        <f t="shared" si="151"/>
        <v>0</v>
      </c>
      <c r="BG112" s="40"/>
      <c r="BH112" s="17"/>
      <c r="BI112" s="17"/>
      <c r="BJ112" s="18"/>
      <c r="BK112" s="19"/>
      <c r="BL112" s="74">
        <f t="shared" si="164"/>
        <v>0</v>
      </c>
      <c r="BM112" s="198">
        <v>1</v>
      </c>
      <c r="BN112" s="241">
        <f t="shared" si="165"/>
        <v>0</v>
      </c>
      <c r="BO112" s="381"/>
      <c r="BP112" s="381"/>
      <c r="BQ112" s="381"/>
      <c r="BR112" s="381"/>
      <c r="BS112" s="381"/>
      <c r="BT112" s="381"/>
      <c r="BU112" s="373"/>
      <c r="BV112" s="241">
        <f t="shared" si="153"/>
        <v>0</v>
      </c>
      <c r="BX112" s="40"/>
      <c r="BY112" s="17"/>
      <c r="BZ112" s="17"/>
      <c r="CA112" s="18"/>
      <c r="CB112" s="19"/>
      <c r="CC112" s="74">
        <f t="shared" si="166"/>
        <v>0</v>
      </c>
      <c r="CD112" s="198">
        <v>1</v>
      </c>
      <c r="CE112" s="241">
        <f t="shared" si="167"/>
        <v>0</v>
      </c>
      <c r="CF112" s="381"/>
      <c r="CG112" s="381"/>
      <c r="CH112" s="381"/>
      <c r="CI112" s="381"/>
      <c r="CJ112" s="381"/>
      <c r="CK112" s="381"/>
      <c r="CL112" s="373"/>
      <c r="CM112" s="241">
        <f t="shared" si="155"/>
        <v>0</v>
      </c>
      <c r="CN112" s="39"/>
      <c r="CO112" s="3"/>
      <c r="CP112" s="75">
        <f t="shared" si="156"/>
        <v>3.0403569401263471</v>
      </c>
      <c r="CQ112" s="3"/>
      <c r="CR112" s="76">
        <f t="shared" si="157"/>
        <v>3.6865708221082789</v>
      </c>
      <c r="CT112" s="76">
        <f t="shared" si="105"/>
        <v>9500</v>
      </c>
    </row>
    <row r="113" spans="1:98" ht="15" customHeight="1" x14ac:dyDescent="0.2">
      <c r="A113" s="389"/>
      <c r="B113" s="395"/>
      <c r="C113" s="234" t="s">
        <v>459</v>
      </c>
      <c r="D113" s="242" t="s">
        <v>65</v>
      </c>
      <c r="E113" s="234" t="s">
        <v>18</v>
      </c>
      <c r="F113" s="301">
        <f>F1*(0.0025*(1.014*1.012*1.015)*1.1/1.13)*1.028</f>
        <v>2.6669797720406548E-3</v>
      </c>
      <c r="H113" s="42"/>
      <c r="I113" s="20"/>
      <c r="J113" s="20"/>
      <c r="K113" s="21"/>
      <c r="L113" s="22"/>
      <c r="M113" s="74">
        <f t="shared" si="158"/>
        <v>0</v>
      </c>
      <c r="N113" s="198">
        <v>1</v>
      </c>
      <c r="O113" s="241">
        <f t="shared" si="159"/>
        <v>0</v>
      </c>
      <c r="P113" s="381"/>
      <c r="Q113" s="381"/>
      <c r="R113" s="381"/>
      <c r="S113" s="381"/>
      <c r="T113" s="381"/>
      <c r="U113" s="381"/>
      <c r="V113" s="373"/>
      <c r="W113" s="241">
        <f t="shared" si="147"/>
        <v>0</v>
      </c>
      <c r="Y113" s="42"/>
      <c r="Z113" s="20"/>
      <c r="AA113" s="20"/>
      <c r="AB113" s="21"/>
      <c r="AC113" s="22"/>
      <c r="AD113" s="74">
        <f t="shared" si="160"/>
        <v>0</v>
      </c>
      <c r="AE113" s="198">
        <v>1</v>
      </c>
      <c r="AF113" s="241">
        <f t="shared" si="161"/>
        <v>0</v>
      </c>
      <c r="AG113" s="381"/>
      <c r="AH113" s="381"/>
      <c r="AI113" s="381"/>
      <c r="AJ113" s="381"/>
      <c r="AK113" s="381"/>
      <c r="AL113" s="381"/>
      <c r="AM113" s="373"/>
      <c r="AN113" s="241">
        <f t="shared" si="149"/>
        <v>0</v>
      </c>
      <c r="AP113" s="42"/>
      <c r="AQ113" s="20"/>
      <c r="AR113" s="20"/>
      <c r="AS113" s="21"/>
      <c r="AT113" s="22"/>
      <c r="AU113" s="74">
        <f t="shared" si="162"/>
        <v>0</v>
      </c>
      <c r="AV113" s="198">
        <v>1</v>
      </c>
      <c r="AW113" s="241">
        <f t="shared" si="163"/>
        <v>0</v>
      </c>
      <c r="AX113" s="381"/>
      <c r="AY113" s="381"/>
      <c r="AZ113" s="381"/>
      <c r="BA113" s="381"/>
      <c r="BB113" s="381"/>
      <c r="BC113" s="381"/>
      <c r="BD113" s="373"/>
      <c r="BE113" s="241">
        <f t="shared" si="151"/>
        <v>0</v>
      </c>
      <c r="BG113" s="42"/>
      <c r="BH113" s="20"/>
      <c r="BI113" s="20"/>
      <c r="BJ113" s="21"/>
      <c r="BK113" s="22"/>
      <c r="BL113" s="74">
        <f t="shared" si="164"/>
        <v>0</v>
      </c>
      <c r="BM113" s="198">
        <v>1</v>
      </c>
      <c r="BN113" s="241">
        <f t="shared" si="165"/>
        <v>0</v>
      </c>
      <c r="BO113" s="381"/>
      <c r="BP113" s="381"/>
      <c r="BQ113" s="381"/>
      <c r="BR113" s="381"/>
      <c r="BS113" s="381"/>
      <c r="BT113" s="381"/>
      <c r="BU113" s="373"/>
      <c r="BV113" s="241">
        <f t="shared" si="153"/>
        <v>0</v>
      </c>
      <c r="BX113" s="42"/>
      <c r="BY113" s="20"/>
      <c r="BZ113" s="20"/>
      <c r="CA113" s="21"/>
      <c r="CB113" s="22"/>
      <c r="CC113" s="74">
        <f t="shared" si="166"/>
        <v>0</v>
      </c>
      <c r="CD113" s="198">
        <v>1</v>
      </c>
      <c r="CE113" s="241">
        <f t="shared" si="167"/>
        <v>0</v>
      </c>
      <c r="CF113" s="381"/>
      <c r="CG113" s="381"/>
      <c r="CH113" s="381"/>
      <c r="CI113" s="381"/>
      <c r="CJ113" s="381"/>
      <c r="CK113" s="381"/>
      <c r="CL113" s="373"/>
      <c r="CM113" s="241">
        <f t="shared" si="155"/>
        <v>0</v>
      </c>
      <c r="CN113" s="39"/>
      <c r="CO113" s="3"/>
      <c r="CP113" s="75">
        <f t="shared" si="156"/>
        <v>0</v>
      </c>
      <c r="CQ113" s="3"/>
      <c r="CR113" s="76">
        <f t="shared" si="157"/>
        <v>0</v>
      </c>
      <c r="CT113" s="76">
        <f t="shared" si="105"/>
        <v>0</v>
      </c>
    </row>
    <row r="114" spans="1:98" ht="15" customHeight="1" x14ac:dyDescent="0.2">
      <c r="A114" s="389"/>
      <c r="B114" s="397"/>
      <c r="C114" s="234" t="s">
        <v>460</v>
      </c>
      <c r="D114" s="242" t="s">
        <v>58</v>
      </c>
      <c r="E114" s="234" t="s">
        <v>19</v>
      </c>
      <c r="F114" s="301">
        <f>F1*(0.0032*(1.014*1.012*1.015)*1.1/1.13)*1.028</f>
        <v>3.4137341082120386E-3</v>
      </c>
      <c r="H114" s="42"/>
      <c r="I114" s="20"/>
      <c r="J114" s="20"/>
      <c r="K114" s="21"/>
      <c r="L114" s="22"/>
      <c r="M114" s="74">
        <f t="shared" si="158"/>
        <v>0</v>
      </c>
      <c r="N114" s="198">
        <v>1</v>
      </c>
      <c r="O114" s="241">
        <f t="shared" si="159"/>
        <v>0</v>
      </c>
      <c r="P114" s="381"/>
      <c r="Q114" s="381"/>
      <c r="R114" s="381"/>
      <c r="S114" s="381"/>
      <c r="T114" s="381"/>
      <c r="U114" s="381"/>
      <c r="V114" s="373"/>
      <c r="W114" s="241">
        <f t="shared" si="147"/>
        <v>0</v>
      </c>
      <c r="Y114" s="42">
        <v>0</v>
      </c>
      <c r="Z114" s="20"/>
      <c r="AA114" s="20"/>
      <c r="AB114" s="21"/>
      <c r="AC114" s="22"/>
      <c r="AD114" s="74">
        <f t="shared" si="160"/>
        <v>0</v>
      </c>
      <c r="AE114" s="198">
        <v>1</v>
      </c>
      <c r="AF114" s="241">
        <f t="shared" si="161"/>
        <v>0</v>
      </c>
      <c r="AG114" s="381"/>
      <c r="AH114" s="381"/>
      <c r="AI114" s="381"/>
      <c r="AJ114" s="381"/>
      <c r="AK114" s="381"/>
      <c r="AL114" s="381"/>
      <c r="AM114" s="373"/>
      <c r="AN114" s="241">
        <f t="shared" si="149"/>
        <v>0</v>
      </c>
      <c r="AP114" s="42"/>
      <c r="AQ114" s="20"/>
      <c r="AR114" s="20"/>
      <c r="AS114" s="21"/>
      <c r="AT114" s="22"/>
      <c r="AU114" s="74">
        <f t="shared" si="162"/>
        <v>0</v>
      </c>
      <c r="AV114" s="198">
        <v>1</v>
      </c>
      <c r="AW114" s="241">
        <f t="shared" si="163"/>
        <v>0</v>
      </c>
      <c r="AX114" s="381"/>
      <c r="AY114" s="381"/>
      <c r="AZ114" s="381"/>
      <c r="BA114" s="381"/>
      <c r="BB114" s="381"/>
      <c r="BC114" s="381"/>
      <c r="BD114" s="373"/>
      <c r="BE114" s="241">
        <f t="shared" si="151"/>
        <v>0</v>
      </c>
      <c r="BG114" s="42"/>
      <c r="BH114" s="20"/>
      <c r="BI114" s="20"/>
      <c r="BJ114" s="21"/>
      <c r="BK114" s="22"/>
      <c r="BL114" s="74">
        <f t="shared" si="164"/>
        <v>0</v>
      </c>
      <c r="BM114" s="198">
        <v>1</v>
      </c>
      <c r="BN114" s="241">
        <f t="shared" si="165"/>
        <v>0</v>
      </c>
      <c r="BO114" s="381"/>
      <c r="BP114" s="381"/>
      <c r="BQ114" s="381"/>
      <c r="BR114" s="381"/>
      <c r="BS114" s="381"/>
      <c r="BT114" s="381"/>
      <c r="BU114" s="373"/>
      <c r="BV114" s="241">
        <f t="shared" si="153"/>
        <v>0</v>
      </c>
      <c r="BX114" s="42"/>
      <c r="BY114" s="20"/>
      <c r="BZ114" s="20"/>
      <c r="CA114" s="21"/>
      <c r="CB114" s="22"/>
      <c r="CC114" s="74">
        <f t="shared" si="166"/>
        <v>0</v>
      </c>
      <c r="CD114" s="198">
        <v>1</v>
      </c>
      <c r="CE114" s="241">
        <f t="shared" si="167"/>
        <v>0</v>
      </c>
      <c r="CF114" s="381"/>
      <c r="CG114" s="381"/>
      <c r="CH114" s="381"/>
      <c r="CI114" s="381"/>
      <c r="CJ114" s="381"/>
      <c r="CK114" s="381"/>
      <c r="CL114" s="373"/>
      <c r="CM114" s="241">
        <f t="shared" si="155"/>
        <v>0</v>
      </c>
      <c r="CN114" s="39"/>
      <c r="CO114" s="3"/>
      <c r="CP114" s="75">
        <f t="shared" si="156"/>
        <v>0</v>
      </c>
      <c r="CQ114" s="3"/>
      <c r="CR114" s="76">
        <f t="shared" si="157"/>
        <v>0</v>
      </c>
      <c r="CT114" s="76">
        <f t="shared" si="105"/>
        <v>0</v>
      </c>
    </row>
    <row r="115" spans="1:98" ht="15" customHeight="1" x14ac:dyDescent="0.2">
      <c r="A115" s="389"/>
      <c r="B115" s="394" t="s">
        <v>41</v>
      </c>
      <c r="C115" s="234" t="s">
        <v>461</v>
      </c>
      <c r="D115" s="201" t="s">
        <v>357</v>
      </c>
      <c r="E115" s="202"/>
      <c r="F115" s="322"/>
      <c r="H115" s="59"/>
      <c r="I115" s="61"/>
      <c r="J115" s="61"/>
      <c r="K115" s="60"/>
      <c r="L115" s="62"/>
      <c r="M115" s="82">
        <f t="shared" si="158"/>
        <v>0</v>
      </c>
      <c r="N115" s="244">
        <v>1</v>
      </c>
      <c r="O115" s="245">
        <f t="shared" si="159"/>
        <v>0</v>
      </c>
      <c r="P115" s="381"/>
      <c r="Q115" s="381"/>
      <c r="R115" s="381"/>
      <c r="S115" s="381"/>
      <c r="T115" s="381"/>
      <c r="U115" s="381"/>
      <c r="V115" s="373"/>
      <c r="W115" s="241">
        <f t="shared" si="147"/>
        <v>0</v>
      </c>
      <c r="Y115" s="59"/>
      <c r="Z115" s="61"/>
      <c r="AA115" s="61"/>
      <c r="AB115" s="60"/>
      <c r="AC115" s="62"/>
      <c r="AD115" s="82">
        <f t="shared" si="160"/>
        <v>0</v>
      </c>
      <c r="AE115" s="244">
        <v>1</v>
      </c>
      <c r="AF115" s="245">
        <f t="shared" si="161"/>
        <v>0</v>
      </c>
      <c r="AG115" s="381"/>
      <c r="AH115" s="381"/>
      <c r="AI115" s="381"/>
      <c r="AJ115" s="381"/>
      <c r="AK115" s="381"/>
      <c r="AL115" s="381"/>
      <c r="AM115" s="373"/>
      <c r="AN115" s="241">
        <f t="shared" si="149"/>
        <v>0</v>
      </c>
      <c r="AP115" s="59"/>
      <c r="AQ115" s="61"/>
      <c r="AR115" s="61"/>
      <c r="AS115" s="60"/>
      <c r="AT115" s="62"/>
      <c r="AU115" s="82">
        <f t="shared" si="162"/>
        <v>0</v>
      </c>
      <c r="AV115" s="244">
        <v>1</v>
      </c>
      <c r="AW115" s="245">
        <f t="shared" si="163"/>
        <v>0</v>
      </c>
      <c r="AX115" s="381"/>
      <c r="AY115" s="381"/>
      <c r="AZ115" s="381"/>
      <c r="BA115" s="381"/>
      <c r="BB115" s="381"/>
      <c r="BC115" s="381"/>
      <c r="BD115" s="373"/>
      <c r="BE115" s="241">
        <f t="shared" si="151"/>
        <v>0</v>
      </c>
      <c r="BG115" s="59"/>
      <c r="BH115" s="61"/>
      <c r="BI115" s="61"/>
      <c r="BJ115" s="60"/>
      <c r="BK115" s="62"/>
      <c r="BL115" s="82">
        <f t="shared" si="164"/>
        <v>0</v>
      </c>
      <c r="BM115" s="244">
        <v>1</v>
      </c>
      <c r="BN115" s="245">
        <f t="shared" si="165"/>
        <v>0</v>
      </c>
      <c r="BO115" s="381"/>
      <c r="BP115" s="381"/>
      <c r="BQ115" s="381"/>
      <c r="BR115" s="381"/>
      <c r="BS115" s="381"/>
      <c r="BT115" s="381"/>
      <c r="BU115" s="373"/>
      <c r="BV115" s="241">
        <f t="shared" si="153"/>
        <v>0</v>
      </c>
      <c r="BX115" s="59"/>
      <c r="BY115" s="61"/>
      <c r="BZ115" s="61"/>
      <c r="CA115" s="60"/>
      <c r="CB115" s="62"/>
      <c r="CC115" s="82">
        <f t="shared" si="166"/>
        <v>0</v>
      </c>
      <c r="CD115" s="244">
        <v>1</v>
      </c>
      <c r="CE115" s="245">
        <f t="shared" si="167"/>
        <v>0</v>
      </c>
      <c r="CF115" s="381"/>
      <c r="CG115" s="381"/>
      <c r="CH115" s="381"/>
      <c r="CI115" s="381"/>
      <c r="CJ115" s="381"/>
      <c r="CK115" s="381"/>
      <c r="CL115" s="373"/>
      <c r="CM115" s="241">
        <f t="shared" si="155"/>
        <v>0</v>
      </c>
      <c r="CN115" s="39"/>
      <c r="CO115" s="3"/>
      <c r="CP115" s="75">
        <f t="shared" si="156"/>
        <v>0</v>
      </c>
      <c r="CQ115" s="3"/>
      <c r="CR115" s="76">
        <f t="shared" si="157"/>
        <v>0</v>
      </c>
      <c r="CT115" s="76">
        <f t="shared" si="105"/>
        <v>0</v>
      </c>
    </row>
    <row r="116" spans="1:98" ht="15" customHeight="1" x14ac:dyDescent="0.2">
      <c r="A116" s="389"/>
      <c r="B116" s="395"/>
      <c r="C116" s="234" t="s">
        <v>462</v>
      </c>
      <c r="D116" s="201" t="s">
        <v>357</v>
      </c>
      <c r="E116" s="202"/>
      <c r="F116" s="322"/>
      <c r="H116" s="59"/>
      <c r="I116" s="61"/>
      <c r="J116" s="61"/>
      <c r="K116" s="60"/>
      <c r="L116" s="62"/>
      <c r="M116" s="74">
        <f t="shared" si="158"/>
        <v>0</v>
      </c>
      <c r="N116" s="240">
        <v>1</v>
      </c>
      <c r="O116" s="241">
        <f t="shared" si="159"/>
        <v>0</v>
      </c>
      <c r="P116" s="381"/>
      <c r="Q116" s="381"/>
      <c r="R116" s="381"/>
      <c r="S116" s="381"/>
      <c r="T116" s="381"/>
      <c r="U116" s="381"/>
      <c r="V116" s="373"/>
      <c r="W116" s="241">
        <f t="shared" si="147"/>
        <v>0</v>
      </c>
      <c r="Y116" s="59"/>
      <c r="Z116" s="61"/>
      <c r="AA116" s="61"/>
      <c r="AB116" s="60"/>
      <c r="AC116" s="62"/>
      <c r="AD116" s="74">
        <f t="shared" si="160"/>
        <v>0</v>
      </c>
      <c r="AE116" s="240">
        <v>1</v>
      </c>
      <c r="AF116" s="241">
        <f t="shared" si="161"/>
        <v>0</v>
      </c>
      <c r="AG116" s="381"/>
      <c r="AH116" s="381"/>
      <c r="AI116" s="381"/>
      <c r="AJ116" s="381"/>
      <c r="AK116" s="381"/>
      <c r="AL116" s="381"/>
      <c r="AM116" s="373"/>
      <c r="AN116" s="241">
        <f t="shared" si="149"/>
        <v>0</v>
      </c>
      <c r="AP116" s="59"/>
      <c r="AQ116" s="61"/>
      <c r="AR116" s="61"/>
      <c r="AS116" s="60"/>
      <c r="AT116" s="62"/>
      <c r="AU116" s="74">
        <f t="shared" si="162"/>
        <v>0</v>
      </c>
      <c r="AV116" s="240">
        <v>1</v>
      </c>
      <c r="AW116" s="241">
        <f t="shared" si="163"/>
        <v>0</v>
      </c>
      <c r="AX116" s="381"/>
      <c r="AY116" s="381"/>
      <c r="AZ116" s="381"/>
      <c r="BA116" s="381"/>
      <c r="BB116" s="381"/>
      <c r="BC116" s="381"/>
      <c r="BD116" s="373"/>
      <c r="BE116" s="241">
        <f t="shared" si="151"/>
        <v>0</v>
      </c>
      <c r="BG116" s="59"/>
      <c r="BH116" s="61"/>
      <c r="BI116" s="61"/>
      <c r="BJ116" s="60"/>
      <c r="BK116" s="62"/>
      <c r="BL116" s="74">
        <f t="shared" si="164"/>
        <v>0</v>
      </c>
      <c r="BM116" s="240">
        <v>1</v>
      </c>
      <c r="BN116" s="241">
        <f t="shared" si="165"/>
        <v>0</v>
      </c>
      <c r="BO116" s="381"/>
      <c r="BP116" s="381"/>
      <c r="BQ116" s="381"/>
      <c r="BR116" s="381"/>
      <c r="BS116" s="381"/>
      <c r="BT116" s="381"/>
      <c r="BU116" s="373"/>
      <c r="BV116" s="241">
        <f t="shared" si="153"/>
        <v>0</v>
      </c>
      <c r="BX116" s="59"/>
      <c r="BY116" s="61"/>
      <c r="BZ116" s="61"/>
      <c r="CA116" s="60"/>
      <c r="CB116" s="62"/>
      <c r="CC116" s="74">
        <f t="shared" si="166"/>
        <v>0</v>
      </c>
      <c r="CD116" s="240">
        <v>1</v>
      </c>
      <c r="CE116" s="241">
        <f t="shared" si="167"/>
        <v>0</v>
      </c>
      <c r="CF116" s="381"/>
      <c r="CG116" s="381"/>
      <c r="CH116" s="381"/>
      <c r="CI116" s="381"/>
      <c r="CJ116" s="381"/>
      <c r="CK116" s="381"/>
      <c r="CL116" s="373"/>
      <c r="CM116" s="241">
        <f t="shared" si="155"/>
        <v>0</v>
      </c>
      <c r="CN116" s="39"/>
      <c r="CO116" s="3"/>
      <c r="CP116" s="75">
        <f t="shared" si="156"/>
        <v>0</v>
      </c>
      <c r="CQ116" s="3"/>
      <c r="CR116" s="76">
        <f t="shared" si="157"/>
        <v>0</v>
      </c>
      <c r="CT116" s="76">
        <f t="shared" si="105"/>
        <v>0</v>
      </c>
    </row>
    <row r="117" spans="1:98" ht="15" customHeight="1" x14ac:dyDescent="0.2">
      <c r="A117" s="389"/>
      <c r="B117" s="395"/>
      <c r="C117" s="234" t="s">
        <v>463</v>
      </c>
      <c r="D117" s="201" t="s">
        <v>357</v>
      </c>
      <c r="E117" s="202"/>
      <c r="F117" s="322"/>
      <c r="H117" s="59"/>
      <c r="I117" s="61"/>
      <c r="J117" s="61"/>
      <c r="K117" s="60"/>
      <c r="L117" s="62"/>
      <c r="M117" s="74">
        <f t="shared" si="158"/>
        <v>0</v>
      </c>
      <c r="N117" s="240">
        <v>1</v>
      </c>
      <c r="O117" s="241">
        <f t="shared" si="159"/>
        <v>0</v>
      </c>
      <c r="P117" s="381"/>
      <c r="Q117" s="381"/>
      <c r="R117" s="381"/>
      <c r="S117" s="381"/>
      <c r="T117" s="381"/>
      <c r="U117" s="381"/>
      <c r="V117" s="373"/>
      <c r="W117" s="241">
        <f t="shared" si="147"/>
        <v>0</v>
      </c>
      <c r="Y117" s="59"/>
      <c r="Z117" s="61"/>
      <c r="AA117" s="61"/>
      <c r="AB117" s="60"/>
      <c r="AC117" s="62"/>
      <c r="AD117" s="74">
        <f t="shared" si="160"/>
        <v>0</v>
      </c>
      <c r="AE117" s="240">
        <v>1</v>
      </c>
      <c r="AF117" s="241">
        <f t="shared" si="161"/>
        <v>0</v>
      </c>
      <c r="AG117" s="381"/>
      <c r="AH117" s="381"/>
      <c r="AI117" s="381"/>
      <c r="AJ117" s="381"/>
      <c r="AK117" s="381"/>
      <c r="AL117" s="381"/>
      <c r="AM117" s="373"/>
      <c r="AN117" s="241">
        <f t="shared" si="149"/>
        <v>0</v>
      </c>
      <c r="AP117" s="59"/>
      <c r="AQ117" s="61"/>
      <c r="AR117" s="61"/>
      <c r="AS117" s="60"/>
      <c r="AT117" s="62"/>
      <c r="AU117" s="74">
        <f t="shared" si="162"/>
        <v>0</v>
      </c>
      <c r="AV117" s="240">
        <v>1</v>
      </c>
      <c r="AW117" s="241">
        <f t="shared" si="163"/>
        <v>0</v>
      </c>
      <c r="AX117" s="381"/>
      <c r="AY117" s="381"/>
      <c r="AZ117" s="381"/>
      <c r="BA117" s="381"/>
      <c r="BB117" s="381"/>
      <c r="BC117" s="381"/>
      <c r="BD117" s="373"/>
      <c r="BE117" s="241">
        <f t="shared" si="151"/>
        <v>0</v>
      </c>
      <c r="BG117" s="59"/>
      <c r="BH117" s="61"/>
      <c r="BI117" s="61"/>
      <c r="BJ117" s="60"/>
      <c r="BK117" s="62"/>
      <c r="BL117" s="74">
        <f t="shared" si="164"/>
        <v>0</v>
      </c>
      <c r="BM117" s="240">
        <v>1</v>
      </c>
      <c r="BN117" s="241">
        <f t="shared" si="165"/>
        <v>0</v>
      </c>
      <c r="BO117" s="381"/>
      <c r="BP117" s="381"/>
      <c r="BQ117" s="381"/>
      <c r="BR117" s="381"/>
      <c r="BS117" s="381"/>
      <c r="BT117" s="381"/>
      <c r="BU117" s="373"/>
      <c r="BV117" s="241">
        <f t="shared" si="153"/>
        <v>0</v>
      </c>
      <c r="BX117" s="59"/>
      <c r="BY117" s="61"/>
      <c r="BZ117" s="61"/>
      <c r="CA117" s="60"/>
      <c r="CB117" s="62"/>
      <c r="CC117" s="74">
        <f t="shared" si="166"/>
        <v>0</v>
      </c>
      <c r="CD117" s="240">
        <v>1</v>
      </c>
      <c r="CE117" s="241">
        <f t="shared" si="167"/>
        <v>0</v>
      </c>
      <c r="CF117" s="381"/>
      <c r="CG117" s="381"/>
      <c r="CH117" s="381"/>
      <c r="CI117" s="381"/>
      <c r="CJ117" s="381"/>
      <c r="CK117" s="381"/>
      <c r="CL117" s="373"/>
      <c r="CM117" s="241">
        <f t="shared" si="155"/>
        <v>0</v>
      </c>
      <c r="CN117" s="39"/>
      <c r="CO117" s="3"/>
      <c r="CP117" s="75">
        <f t="shared" si="156"/>
        <v>0</v>
      </c>
      <c r="CQ117" s="3"/>
      <c r="CR117" s="76">
        <f t="shared" si="157"/>
        <v>0</v>
      </c>
      <c r="CT117" s="76">
        <f t="shared" si="105"/>
        <v>0</v>
      </c>
    </row>
    <row r="118" spans="1:98" ht="15" customHeight="1" x14ac:dyDescent="0.2">
      <c r="A118" s="389"/>
      <c r="B118" s="395"/>
      <c r="C118" s="234" t="s">
        <v>464</v>
      </c>
      <c r="D118" s="204" t="s">
        <v>215</v>
      </c>
      <c r="E118" s="205" t="s">
        <v>10</v>
      </c>
      <c r="F118" s="323"/>
      <c r="H118" s="59"/>
      <c r="I118" s="61"/>
      <c r="J118" s="61"/>
      <c r="K118" s="60"/>
      <c r="L118" s="62"/>
      <c r="M118" s="82"/>
      <c r="N118" s="246"/>
      <c r="O118" s="245">
        <f>SUM(H118:L118)</f>
        <v>0</v>
      </c>
      <c r="P118" s="381"/>
      <c r="Q118" s="381"/>
      <c r="R118" s="381"/>
      <c r="S118" s="381"/>
      <c r="T118" s="381"/>
      <c r="U118" s="381"/>
      <c r="V118" s="373"/>
      <c r="W118" s="241">
        <f t="shared" si="147"/>
        <v>0</v>
      </c>
      <c r="Y118" s="59"/>
      <c r="Z118" s="61"/>
      <c r="AA118" s="61"/>
      <c r="AB118" s="60"/>
      <c r="AC118" s="62"/>
      <c r="AD118" s="82"/>
      <c r="AE118" s="246"/>
      <c r="AF118" s="245">
        <f>SUM(Y118:AC118)</f>
        <v>0</v>
      </c>
      <c r="AG118" s="381"/>
      <c r="AH118" s="381"/>
      <c r="AI118" s="381"/>
      <c r="AJ118" s="381"/>
      <c r="AK118" s="381"/>
      <c r="AL118" s="381"/>
      <c r="AM118" s="373"/>
      <c r="AN118" s="241">
        <f t="shared" si="149"/>
        <v>0</v>
      </c>
      <c r="AP118" s="59"/>
      <c r="AQ118" s="61"/>
      <c r="AR118" s="61"/>
      <c r="AS118" s="60"/>
      <c r="AT118" s="62"/>
      <c r="AU118" s="82"/>
      <c r="AV118" s="246"/>
      <c r="AW118" s="245">
        <f>SUM(AP118:AT118)</f>
        <v>0</v>
      </c>
      <c r="AX118" s="381"/>
      <c r="AY118" s="381"/>
      <c r="AZ118" s="381"/>
      <c r="BA118" s="381"/>
      <c r="BB118" s="381"/>
      <c r="BC118" s="381"/>
      <c r="BD118" s="373"/>
      <c r="BE118" s="241">
        <f t="shared" si="151"/>
        <v>0</v>
      </c>
      <c r="BG118" s="59"/>
      <c r="BH118" s="61"/>
      <c r="BI118" s="61"/>
      <c r="BJ118" s="60"/>
      <c r="BK118" s="62"/>
      <c r="BL118" s="82"/>
      <c r="BM118" s="246"/>
      <c r="BN118" s="245">
        <f>SUM(BG118:BK118)</f>
        <v>0</v>
      </c>
      <c r="BO118" s="381"/>
      <c r="BP118" s="381"/>
      <c r="BQ118" s="381"/>
      <c r="BR118" s="381"/>
      <c r="BS118" s="381"/>
      <c r="BT118" s="381"/>
      <c r="BU118" s="373"/>
      <c r="BV118" s="241">
        <f t="shared" si="153"/>
        <v>0</v>
      </c>
      <c r="BX118" s="59"/>
      <c r="BY118" s="61"/>
      <c r="BZ118" s="61"/>
      <c r="CA118" s="60"/>
      <c r="CB118" s="62"/>
      <c r="CC118" s="82"/>
      <c r="CD118" s="246"/>
      <c r="CE118" s="245">
        <f>SUM(BX118:CB118)</f>
        <v>0</v>
      </c>
      <c r="CF118" s="381"/>
      <c r="CG118" s="381"/>
      <c r="CH118" s="381"/>
      <c r="CI118" s="381"/>
      <c r="CJ118" s="381"/>
      <c r="CK118" s="381"/>
      <c r="CL118" s="373"/>
      <c r="CM118" s="241">
        <f t="shared" si="155"/>
        <v>0</v>
      </c>
      <c r="CN118" s="39"/>
      <c r="CO118" s="3"/>
      <c r="CP118" s="75">
        <f t="shared" si="156"/>
        <v>0</v>
      </c>
      <c r="CQ118" s="3"/>
      <c r="CR118" s="76">
        <f t="shared" si="157"/>
        <v>0</v>
      </c>
      <c r="CT118" s="76">
        <f t="shared" si="105"/>
        <v>0</v>
      </c>
    </row>
    <row r="119" spans="1:98" ht="15" customHeight="1" x14ac:dyDescent="0.2">
      <c r="A119" s="389"/>
      <c r="B119" s="395"/>
      <c r="C119" s="234" t="s">
        <v>465</v>
      </c>
      <c r="D119" s="220" t="s">
        <v>215</v>
      </c>
      <c r="E119" s="205" t="s">
        <v>10</v>
      </c>
      <c r="F119" s="323"/>
      <c r="H119" s="43"/>
      <c r="I119" s="61"/>
      <c r="J119" s="61"/>
      <c r="K119" s="60"/>
      <c r="L119" s="62"/>
      <c r="M119" s="82"/>
      <c r="N119" s="246"/>
      <c r="O119" s="245">
        <f>SUM(H119:L119)</f>
        <v>0</v>
      </c>
      <c r="P119" s="381"/>
      <c r="Q119" s="381"/>
      <c r="R119" s="381"/>
      <c r="S119" s="381"/>
      <c r="T119" s="381"/>
      <c r="U119" s="381"/>
      <c r="V119" s="374"/>
      <c r="W119" s="241">
        <f t="shared" si="147"/>
        <v>0</v>
      </c>
      <c r="Y119" s="43"/>
      <c r="Z119" s="61"/>
      <c r="AA119" s="61"/>
      <c r="AB119" s="60"/>
      <c r="AC119" s="62"/>
      <c r="AD119" s="82"/>
      <c r="AE119" s="246"/>
      <c r="AF119" s="245">
        <f>SUM(Y119:AC119)</f>
        <v>0</v>
      </c>
      <c r="AG119" s="381"/>
      <c r="AH119" s="381"/>
      <c r="AI119" s="381"/>
      <c r="AJ119" s="381"/>
      <c r="AK119" s="381"/>
      <c r="AL119" s="381"/>
      <c r="AM119" s="374"/>
      <c r="AN119" s="241">
        <f t="shared" si="149"/>
        <v>0</v>
      </c>
      <c r="AP119" s="43"/>
      <c r="AQ119" s="61"/>
      <c r="AR119" s="61"/>
      <c r="AS119" s="60"/>
      <c r="AT119" s="62"/>
      <c r="AU119" s="82"/>
      <c r="AV119" s="246"/>
      <c r="AW119" s="245">
        <f>SUM(AP119:AT119)</f>
        <v>0</v>
      </c>
      <c r="AX119" s="381"/>
      <c r="AY119" s="381"/>
      <c r="AZ119" s="381"/>
      <c r="BA119" s="381"/>
      <c r="BB119" s="381"/>
      <c r="BC119" s="381"/>
      <c r="BD119" s="374"/>
      <c r="BE119" s="241">
        <f t="shared" si="151"/>
        <v>0</v>
      </c>
      <c r="BG119" s="59"/>
      <c r="BH119" s="61"/>
      <c r="BI119" s="61"/>
      <c r="BJ119" s="60"/>
      <c r="BK119" s="62"/>
      <c r="BL119" s="82"/>
      <c r="BM119" s="246"/>
      <c r="BN119" s="245">
        <f>SUM(BG119:BK119)</f>
        <v>0</v>
      </c>
      <c r="BO119" s="381"/>
      <c r="BP119" s="381"/>
      <c r="BQ119" s="381"/>
      <c r="BR119" s="381"/>
      <c r="BS119" s="381"/>
      <c r="BT119" s="381"/>
      <c r="BU119" s="374"/>
      <c r="BV119" s="241">
        <f t="shared" si="153"/>
        <v>0</v>
      </c>
      <c r="BX119" s="59"/>
      <c r="BY119" s="61"/>
      <c r="BZ119" s="61"/>
      <c r="CA119" s="60"/>
      <c r="CB119" s="62"/>
      <c r="CC119" s="82"/>
      <c r="CD119" s="246"/>
      <c r="CE119" s="245">
        <f>SUM(BX119:CB119)</f>
        <v>0</v>
      </c>
      <c r="CF119" s="381"/>
      <c r="CG119" s="381"/>
      <c r="CH119" s="381"/>
      <c r="CI119" s="381"/>
      <c r="CJ119" s="381"/>
      <c r="CK119" s="381"/>
      <c r="CL119" s="374"/>
      <c r="CM119" s="241">
        <f t="shared" si="155"/>
        <v>0</v>
      </c>
      <c r="CN119" s="39"/>
      <c r="CO119" s="3"/>
      <c r="CP119" s="75">
        <f t="shared" si="156"/>
        <v>0</v>
      </c>
      <c r="CQ119" s="3"/>
      <c r="CR119" s="76">
        <f t="shared" si="157"/>
        <v>0</v>
      </c>
      <c r="CT119" s="76">
        <f t="shared" si="105"/>
        <v>0</v>
      </c>
    </row>
    <row r="120" spans="1:98" ht="15" customHeight="1" thickBot="1" x14ac:dyDescent="0.25">
      <c r="A120" s="390"/>
      <c r="B120" s="223"/>
      <c r="C120" s="224"/>
      <c r="D120" s="225" t="s">
        <v>22</v>
      </c>
      <c r="E120" s="224"/>
      <c r="F120" s="325"/>
      <c r="H120" s="141"/>
      <c r="I120" s="142"/>
      <c r="J120" s="142"/>
      <c r="K120" s="142"/>
      <c r="L120" s="142"/>
      <c r="M120" s="227"/>
      <c r="N120" s="228"/>
      <c r="O120" s="229">
        <f>SUM(O100:O119)</f>
        <v>0</v>
      </c>
      <c r="P120" s="230"/>
      <c r="Q120" s="230"/>
      <c r="R120" s="230"/>
      <c r="S120" s="230"/>
      <c r="T120" s="230"/>
      <c r="U120" s="230"/>
      <c r="V120" s="228"/>
      <c r="W120" s="229">
        <f>SUM(W100:W119)</f>
        <v>0</v>
      </c>
      <c r="Y120" s="141"/>
      <c r="Z120" s="142"/>
      <c r="AA120" s="142"/>
      <c r="AB120" s="142"/>
      <c r="AC120" s="142"/>
      <c r="AD120" s="227"/>
      <c r="AE120" s="228"/>
      <c r="AF120" s="229">
        <f>SUM(AF100:AF119)</f>
        <v>100.44101851563222</v>
      </c>
      <c r="AG120" s="230"/>
      <c r="AH120" s="230"/>
      <c r="AI120" s="230"/>
      <c r="AJ120" s="230"/>
      <c r="AK120" s="230"/>
      <c r="AL120" s="230"/>
      <c r="AM120" s="228"/>
      <c r="AN120" s="229">
        <f>SUM(AN100:AN119)</f>
        <v>121.78929497244474</v>
      </c>
      <c r="AP120" s="141"/>
      <c r="AQ120" s="142"/>
      <c r="AR120" s="142"/>
      <c r="AS120" s="142"/>
      <c r="AT120" s="142"/>
      <c r="AU120" s="227"/>
      <c r="AV120" s="228"/>
      <c r="AW120" s="229">
        <f>SUM(AW100:AW119)</f>
        <v>0</v>
      </c>
      <c r="AX120" s="230"/>
      <c r="AY120" s="230"/>
      <c r="AZ120" s="230"/>
      <c r="BA120" s="230"/>
      <c r="BB120" s="230"/>
      <c r="BC120" s="230"/>
      <c r="BD120" s="228"/>
      <c r="BE120" s="229">
        <f>SUM(BE100:BE119)</f>
        <v>0</v>
      </c>
      <c r="BG120" s="141"/>
      <c r="BH120" s="142"/>
      <c r="BI120" s="142"/>
      <c r="BJ120" s="142"/>
      <c r="BK120" s="142"/>
      <c r="BL120" s="227"/>
      <c r="BM120" s="228"/>
      <c r="BN120" s="229">
        <f>SUM(BN100:BN119)</f>
        <v>0</v>
      </c>
      <c r="BO120" s="230"/>
      <c r="BP120" s="230"/>
      <c r="BQ120" s="230"/>
      <c r="BR120" s="230"/>
      <c r="BS120" s="230"/>
      <c r="BT120" s="230"/>
      <c r="BU120" s="228"/>
      <c r="BV120" s="229">
        <f>SUM(BV100:BV119)</f>
        <v>0</v>
      </c>
      <c r="BX120" s="141"/>
      <c r="BY120" s="142"/>
      <c r="BZ120" s="142"/>
      <c r="CA120" s="142"/>
      <c r="CB120" s="142"/>
      <c r="CC120" s="227"/>
      <c r="CD120" s="228"/>
      <c r="CE120" s="229">
        <f>SUM(CE100:CE119)</f>
        <v>0</v>
      </c>
      <c r="CF120" s="230"/>
      <c r="CG120" s="230"/>
      <c r="CH120" s="230"/>
      <c r="CI120" s="230"/>
      <c r="CJ120" s="230"/>
      <c r="CK120" s="230"/>
      <c r="CL120" s="228"/>
      <c r="CM120" s="229">
        <f>SUM(CM100:CM119)</f>
        <v>0</v>
      </c>
      <c r="CN120" s="39"/>
      <c r="CO120" s="3"/>
      <c r="CP120" s="217">
        <f>SUM(CP100:CP119)</f>
        <v>100.44101851563222</v>
      </c>
      <c r="CQ120" s="3"/>
      <c r="CR120" s="217">
        <f>SUM(CR100:CR119)</f>
        <v>121.78929497244474</v>
      </c>
      <c r="CT120" s="217"/>
    </row>
    <row r="121" spans="1:98" ht="15" customHeight="1" x14ac:dyDescent="0.2">
      <c r="A121" s="391" t="s">
        <v>531</v>
      </c>
      <c r="B121" s="421" t="s">
        <v>469</v>
      </c>
      <c r="C121" s="236" t="s">
        <v>217</v>
      </c>
      <c r="D121" s="252" t="s">
        <v>448</v>
      </c>
      <c r="E121" s="234" t="s">
        <v>17</v>
      </c>
      <c r="F121" s="301">
        <f>F1*(0.0025*(1.014*1.012*1.015)*1.1/1.12)*1.028</f>
        <v>2.6907920914338744E-3</v>
      </c>
      <c r="H121" s="41"/>
      <c r="I121" s="46"/>
      <c r="J121" s="46"/>
      <c r="K121" s="46"/>
      <c r="L121" s="47"/>
      <c r="M121" s="92">
        <f t="shared" ref="M121:M126" si="188">SUM(H121:L121)</f>
        <v>0</v>
      </c>
      <c r="N121" s="193">
        <v>1</v>
      </c>
      <c r="O121" s="238">
        <f t="shared" ref="O121:O126" si="189">$F121*M121*N121</f>
        <v>0</v>
      </c>
      <c r="P121" s="378">
        <f>VLOOKUP(P5,'Databaze rizik'!$K$2:$Z$6,8,FALSE)/100+1</f>
        <v>1.1000000000000001</v>
      </c>
      <c r="Q121" s="375">
        <f>VLOOKUP(Q5,'Databaze rizik'!$K$21:$Z$25,8,FALSE)/100+1</f>
        <v>1.07</v>
      </c>
      <c r="R121" s="375">
        <f>VLOOKUP(R5,'Databaze rizik'!$K$41:$Z$45,8,FALSE)/100+1</f>
        <v>1</v>
      </c>
      <c r="S121" s="375">
        <f>VLOOKUP(S5,'Databaze rizik'!$K$61:$Z$66,8,FALSE)/100+1</f>
        <v>1.02</v>
      </c>
      <c r="T121" s="375">
        <f>VLOOKUP(T5,'Databaze rizik'!$K$81:$Z$85,8,FALSE)/100+1</f>
        <v>1.01</v>
      </c>
      <c r="U121" s="375">
        <f>VLOOKUP(U5,'Databaze rizik'!$K$101:$Z$105,8,FALSE)/100+1</f>
        <v>1</v>
      </c>
      <c r="V121" s="372">
        <f t="shared" ref="V121" si="190">P121*Q121*R121*S121*T121*U121</f>
        <v>1.2125454000000004</v>
      </c>
      <c r="W121" s="238">
        <f t="shared" ref="W121:W128" si="191">O121*V$121</f>
        <v>0</v>
      </c>
      <c r="Y121" s="41">
        <v>2330</v>
      </c>
      <c r="Z121" s="46"/>
      <c r="AA121" s="46"/>
      <c r="AB121" s="46"/>
      <c r="AC121" s="47"/>
      <c r="AD121" s="92">
        <f t="shared" ref="AD121:AD126" si="192">SUM(Y121:AC121)</f>
        <v>2330</v>
      </c>
      <c r="AE121" s="193">
        <v>1</v>
      </c>
      <c r="AF121" s="238">
        <f t="shared" ref="AF121:AF126" si="193">$F121*AD121*AE121</f>
        <v>6.2695455730409275</v>
      </c>
      <c r="AG121" s="378">
        <f>VLOOKUP(AG5,'Databaze rizik'!$K$2:$Z$6,8,FALSE)/100+1</f>
        <v>1.1000000000000001</v>
      </c>
      <c r="AH121" s="375">
        <f>VLOOKUP(AH5,'Databaze rizik'!$K$21:$Z$25,8,FALSE)/100+1</f>
        <v>1.07</v>
      </c>
      <c r="AI121" s="375">
        <f>VLOOKUP(AI5,'Databaze rizik'!$K$41:$Z$45,8,FALSE)/100+1</f>
        <v>1</v>
      </c>
      <c r="AJ121" s="375">
        <f>VLOOKUP(AJ5,'Databaze rizik'!$K$61:$Z$66,8,FALSE)/100+1</f>
        <v>1.02</v>
      </c>
      <c r="AK121" s="375">
        <f>VLOOKUP(AK5,'Databaze rizik'!$K$81:$Z$85,8,FALSE)/100+1</f>
        <v>1.01</v>
      </c>
      <c r="AL121" s="375">
        <f>VLOOKUP(AL5,'Databaze rizik'!$K$101:$Z$105,8,FALSE)/100+1</f>
        <v>1</v>
      </c>
      <c r="AM121" s="372">
        <f t="shared" ref="AM121" si="194">AG121*AH121*AI121*AJ121*AK121*AL121</f>
        <v>1.2125454000000004</v>
      </c>
      <c r="AN121" s="238">
        <f t="shared" ref="AN121:AN128" si="195">AF121*AM$121</f>
        <v>7.6021086446811434</v>
      </c>
      <c r="AP121" s="41"/>
      <c r="AQ121" s="46"/>
      <c r="AR121" s="46"/>
      <c r="AS121" s="46"/>
      <c r="AT121" s="47"/>
      <c r="AU121" s="92">
        <f t="shared" ref="AU121:AU126" si="196">SUM(AP121:AT121)</f>
        <v>0</v>
      </c>
      <c r="AV121" s="193">
        <v>1</v>
      </c>
      <c r="AW121" s="238">
        <f t="shared" ref="AW121:AW126" si="197">$F121*AU121*AV121</f>
        <v>0</v>
      </c>
      <c r="AX121" s="378">
        <f>VLOOKUP(AX5,'Databaze rizik'!$K$2:$Z$6,8,FALSE)/100+1</f>
        <v>1.1000000000000001</v>
      </c>
      <c r="AY121" s="375">
        <f>VLOOKUP(AY5,'Databaze rizik'!$K$21:$Z$25,8,FALSE)/100+1</f>
        <v>1.07</v>
      </c>
      <c r="AZ121" s="375">
        <f>VLOOKUP(AZ5,'Databaze rizik'!$K$41:$Z$45,8,FALSE)/100+1</f>
        <v>1</v>
      </c>
      <c r="BA121" s="375">
        <f>VLOOKUP(BA5,'Databaze rizik'!$K$61:$Z$66,8,FALSE)/100+1</f>
        <v>1.02</v>
      </c>
      <c r="BB121" s="375">
        <f>VLOOKUP(BB5,'Databaze rizik'!$K$81:$Z$85,8,FALSE)/100+1</f>
        <v>1.01</v>
      </c>
      <c r="BC121" s="375">
        <f>VLOOKUP(BC5,'Databaze rizik'!$K$101:$Z$105,8,FALSE)/100+1</f>
        <v>1</v>
      </c>
      <c r="BD121" s="372">
        <f t="shared" ref="BD121" si="198">AX121*AY121*AZ121*BA121*BB121*BC121</f>
        <v>1.2125454000000004</v>
      </c>
      <c r="BE121" s="238">
        <f t="shared" ref="BE121:BE128" si="199">AW121*BD$121</f>
        <v>0</v>
      </c>
      <c r="BG121" s="41"/>
      <c r="BH121" s="46"/>
      <c r="BI121" s="46"/>
      <c r="BJ121" s="46"/>
      <c r="BK121" s="47"/>
      <c r="BL121" s="92">
        <f t="shared" ref="BL121:BL126" si="200">SUM(BG121:BK121)</f>
        <v>0</v>
      </c>
      <c r="BM121" s="193">
        <v>1</v>
      </c>
      <c r="BN121" s="238">
        <f t="shared" ref="BN121:BN126" si="201">$F121*BL121*BM121</f>
        <v>0</v>
      </c>
      <c r="BO121" s="378">
        <f>VLOOKUP(BO5,'Databaze rizik'!$K$2:$Z$6,8,FALSE)/100+1</f>
        <v>1</v>
      </c>
      <c r="BP121" s="375">
        <f>VLOOKUP(BP5,'Databaze rizik'!$K$21:$Z$25,8,FALSE)/100+1</f>
        <v>1</v>
      </c>
      <c r="BQ121" s="375">
        <f>VLOOKUP(BQ5,'Databaze rizik'!$K$41:$Z$45,8,FALSE)/100+1</f>
        <v>1</v>
      </c>
      <c r="BR121" s="375">
        <f>VLOOKUP(BR5,'Databaze rizik'!$K$61:$Z$66,8,FALSE)/100+1</f>
        <v>1.02</v>
      </c>
      <c r="BS121" s="375">
        <f>VLOOKUP(BS5,'Databaze rizik'!$K$81:$Z$85,8,FALSE)/100+1</f>
        <v>1.01</v>
      </c>
      <c r="BT121" s="375">
        <f>VLOOKUP(BT5,'Databaze rizik'!$K$101:$Z$105,8,FALSE)/100+1</f>
        <v>1</v>
      </c>
      <c r="BU121" s="372">
        <f t="shared" ref="BU121" si="202">BO121*BP121*BQ121*BR121*BS121*BT121</f>
        <v>1.0302</v>
      </c>
      <c r="BV121" s="238">
        <f t="shared" ref="BV121:BV128" si="203">BN121*BU$121</f>
        <v>0</v>
      </c>
      <c r="BX121" s="41"/>
      <c r="BY121" s="46"/>
      <c r="BZ121" s="46"/>
      <c r="CA121" s="46"/>
      <c r="CB121" s="47"/>
      <c r="CC121" s="92">
        <f t="shared" ref="CC121:CC126" si="204">SUM(BX121:CB121)</f>
        <v>0</v>
      </c>
      <c r="CD121" s="193">
        <v>1</v>
      </c>
      <c r="CE121" s="238">
        <f t="shared" ref="CE121:CE126" si="205">$F121*CC121*CD121</f>
        <v>0</v>
      </c>
      <c r="CF121" s="378">
        <f>VLOOKUP(CF5,'Databaze rizik'!$K$2:$Z$6,8,FALSE)/100+1</f>
        <v>1</v>
      </c>
      <c r="CG121" s="375">
        <f>VLOOKUP(CG5,'Databaze rizik'!$K$21:$Z$25,8,FALSE)/100+1</f>
        <v>1</v>
      </c>
      <c r="CH121" s="375">
        <f>VLOOKUP(CH5,'Databaze rizik'!$K$41:$Z$45,8,FALSE)/100+1</f>
        <v>1</v>
      </c>
      <c r="CI121" s="375">
        <f>VLOOKUP(CI5,'Databaze rizik'!$K$61:$Z$66,8,FALSE)/100+1</f>
        <v>1.02</v>
      </c>
      <c r="CJ121" s="375">
        <f>VLOOKUP(CJ5,'Databaze rizik'!$K$81:$Z$85,8,FALSE)/100+1</f>
        <v>1.01</v>
      </c>
      <c r="CK121" s="375">
        <f>VLOOKUP(CK5,'Databaze rizik'!$K$101:$Z$105,8,FALSE)/100+1</f>
        <v>1</v>
      </c>
      <c r="CL121" s="372">
        <f t="shared" ref="CL121" si="206">CF121*CG121*CH121*CI121*CJ121*CK121</f>
        <v>1.0302</v>
      </c>
      <c r="CM121" s="238">
        <f t="shared" ref="CM121:CM128" si="207">CE121*CL$121</f>
        <v>0</v>
      </c>
      <c r="CN121" s="39"/>
      <c r="CO121" s="55"/>
      <c r="CP121" s="75">
        <f t="shared" ref="CP121:CP128" si="208">SUMIF(H$1:CM$1,1,H121:CM121)</f>
        <v>6.2695455730409275</v>
      </c>
      <c r="CQ121" s="3"/>
      <c r="CR121" s="77">
        <f t="shared" ref="CR121:CR128" si="209">SUMIF(H$1:CM$1,2,H121:CM121)</f>
        <v>7.6021086446811434</v>
      </c>
      <c r="CT121" s="77">
        <f t="shared" si="105"/>
        <v>2330</v>
      </c>
    </row>
    <row r="122" spans="1:98" ht="15" customHeight="1" x14ac:dyDescent="0.2">
      <c r="A122" s="392"/>
      <c r="B122" s="417"/>
      <c r="C122" s="234" t="s">
        <v>218</v>
      </c>
      <c r="D122" s="252" t="s">
        <v>449</v>
      </c>
      <c r="E122" s="234" t="s">
        <v>17</v>
      </c>
      <c r="F122" s="301">
        <f>F1*(0.02*(1.014*1.012*1.015)*1.1/1.12)*1.028</f>
        <v>2.1526336731470995E-2</v>
      </c>
      <c r="H122" s="43"/>
      <c r="I122" s="24"/>
      <c r="J122" s="24"/>
      <c r="K122" s="24"/>
      <c r="L122" s="25"/>
      <c r="M122" s="82">
        <f t="shared" si="188"/>
        <v>0</v>
      </c>
      <c r="N122" s="198">
        <v>1</v>
      </c>
      <c r="O122" s="245">
        <f t="shared" si="189"/>
        <v>0</v>
      </c>
      <c r="P122" s="379"/>
      <c r="Q122" s="376"/>
      <c r="R122" s="376"/>
      <c r="S122" s="376"/>
      <c r="T122" s="376"/>
      <c r="U122" s="376"/>
      <c r="V122" s="373"/>
      <c r="W122" s="245">
        <f t="shared" si="191"/>
        <v>0</v>
      </c>
      <c r="Y122" s="43">
        <v>1890</v>
      </c>
      <c r="Z122" s="24"/>
      <c r="AA122" s="24"/>
      <c r="AB122" s="24"/>
      <c r="AC122" s="25"/>
      <c r="AD122" s="82">
        <f t="shared" si="192"/>
        <v>1890</v>
      </c>
      <c r="AE122" s="198">
        <v>1</v>
      </c>
      <c r="AF122" s="245">
        <f t="shared" si="193"/>
        <v>40.684776422480184</v>
      </c>
      <c r="AG122" s="379"/>
      <c r="AH122" s="376"/>
      <c r="AI122" s="376"/>
      <c r="AJ122" s="376"/>
      <c r="AK122" s="376"/>
      <c r="AL122" s="376"/>
      <c r="AM122" s="373"/>
      <c r="AN122" s="245">
        <f t="shared" si="195"/>
        <v>49.332138501106819</v>
      </c>
      <c r="AP122" s="43"/>
      <c r="AQ122" s="24"/>
      <c r="AR122" s="24"/>
      <c r="AS122" s="24"/>
      <c r="AT122" s="25"/>
      <c r="AU122" s="82">
        <f t="shared" si="196"/>
        <v>0</v>
      </c>
      <c r="AV122" s="198">
        <v>1</v>
      </c>
      <c r="AW122" s="245">
        <f t="shared" si="197"/>
        <v>0</v>
      </c>
      <c r="AX122" s="379"/>
      <c r="AY122" s="376"/>
      <c r="AZ122" s="376"/>
      <c r="BA122" s="376"/>
      <c r="BB122" s="376"/>
      <c r="BC122" s="376"/>
      <c r="BD122" s="373"/>
      <c r="BE122" s="245">
        <f t="shared" si="199"/>
        <v>0</v>
      </c>
      <c r="BG122" s="43"/>
      <c r="BH122" s="24"/>
      <c r="BI122" s="24"/>
      <c r="BJ122" s="24"/>
      <c r="BK122" s="25"/>
      <c r="BL122" s="82">
        <f t="shared" si="200"/>
        <v>0</v>
      </c>
      <c r="BM122" s="198">
        <v>1</v>
      </c>
      <c r="BN122" s="245">
        <f t="shared" si="201"/>
        <v>0</v>
      </c>
      <c r="BO122" s="379"/>
      <c r="BP122" s="376"/>
      <c r="BQ122" s="376"/>
      <c r="BR122" s="376"/>
      <c r="BS122" s="376"/>
      <c r="BT122" s="376"/>
      <c r="BU122" s="373"/>
      <c r="BV122" s="245">
        <f t="shared" si="203"/>
        <v>0</v>
      </c>
      <c r="BX122" s="43"/>
      <c r="BY122" s="24"/>
      <c r="BZ122" s="24"/>
      <c r="CA122" s="24"/>
      <c r="CB122" s="25"/>
      <c r="CC122" s="82">
        <f t="shared" si="204"/>
        <v>0</v>
      </c>
      <c r="CD122" s="198">
        <v>1</v>
      </c>
      <c r="CE122" s="245">
        <f t="shared" si="205"/>
        <v>0</v>
      </c>
      <c r="CF122" s="379"/>
      <c r="CG122" s="376"/>
      <c r="CH122" s="376"/>
      <c r="CI122" s="376"/>
      <c r="CJ122" s="376"/>
      <c r="CK122" s="376"/>
      <c r="CL122" s="373"/>
      <c r="CM122" s="245">
        <f t="shared" si="207"/>
        <v>0</v>
      </c>
      <c r="CN122" s="39"/>
      <c r="CO122" s="55"/>
      <c r="CP122" s="75">
        <f t="shared" si="208"/>
        <v>40.684776422480184</v>
      </c>
      <c r="CQ122" s="3"/>
      <c r="CR122" s="76">
        <f t="shared" si="209"/>
        <v>49.332138501106819</v>
      </c>
      <c r="CT122" s="76">
        <f t="shared" si="105"/>
        <v>1890</v>
      </c>
    </row>
    <row r="123" spans="1:98" ht="15" customHeight="1" x14ac:dyDescent="0.2">
      <c r="A123" s="392"/>
      <c r="B123" s="415" t="s">
        <v>532</v>
      </c>
      <c r="C123" s="234" t="s">
        <v>219</v>
      </c>
      <c r="D123" s="252" t="s">
        <v>533</v>
      </c>
      <c r="E123" s="234" t="s">
        <v>3</v>
      </c>
      <c r="F123" s="302">
        <f>F1*(0.7*(1.014*1.012*1.015)*1.1/1.12)*1.028</f>
        <v>0.75342178560148476</v>
      </c>
      <c r="H123" s="43"/>
      <c r="I123" s="24"/>
      <c r="J123" s="24"/>
      <c r="K123" s="24"/>
      <c r="L123" s="25"/>
      <c r="M123" s="82">
        <f t="shared" si="188"/>
        <v>0</v>
      </c>
      <c r="N123" s="198">
        <v>1</v>
      </c>
      <c r="O123" s="245">
        <f t="shared" si="189"/>
        <v>0</v>
      </c>
      <c r="P123" s="379"/>
      <c r="Q123" s="376"/>
      <c r="R123" s="376"/>
      <c r="S123" s="376"/>
      <c r="T123" s="376"/>
      <c r="U123" s="376"/>
      <c r="V123" s="373"/>
      <c r="W123" s="245">
        <f t="shared" si="191"/>
        <v>0</v>
      </c>
      <c r="Y123" s="43">
        <v>0</v>
      </c>
      <c r="Z123" s="24"/>
      <c r="AA123" s="24"/>
      <c r="AB123" s="24"/>
      <c r="AC123" s="25"/>
      <c r="AD123" s="82">
        <f t="shared" si="192"/>
        <v>0</v>
      </c>
      <c r="AE123" s="198">
        <v>1</v>
      </c>
      <c r="AF123" s="245">
        <f t="shared" si="193"/>
        <v>0</v>
      </c>
      <c r="AG123" s="379"/>
      <c r="AH123" s="376"/>
      <c r="AI123" s="376"/>
      <c r="AJ123" s="376"/>
      <c r="AK123" s="376"/>
      <c r="AL123" s="376"/>
      <c r="AM123" s="373"/>
      <c r="AN123" s="245">
        <f t="shared" si="195"/>
        <v>0</v>
      </c>
      <c r="AP123" s="43"/>
      <c r="AQ123" s="24"/>
      <c r="AR123" s="24"/>
      <c r="AS123" s="24"/>
      <c r="AT123" s="25"/>
      <c r="AU123" s="82">
        <f t="shared" si="196"/>
        <v>0</v>
      </c>
      <c r="AV123" s="198">
        <v>1</v>
      </c>
      <c r="AW123" s="245">
        <f t="shared" si="197"/>
        <v>0</v>
      </c>
      <c r="AX123" s="379"/>
      <c r="AY123" s="376"/>
      <c r="AZ123" s="376"/>
      <c r="BA123" s="376"/>
      <c r="BB123" s="376"/>
      <c r="BC123" s="376"/>
      <c r="BD123" s="373"/>
      <c r="BE123" s="245">
        <f t="shared" si="199"/>
        <v>0</v>
      </c>
      <c r="BG123" s="43"/>
      <c r="BH123" s="24"/>
      <c r="BI123" s="24"/>
      <c r="BJ123" s="24"/>
      <c r="BK123" s="25"/>
      <c r="BL123" s="82">
        <f t="shared" si="200"/>
        <v>0</v>
      </c>
      <c r="BM123" s="198">
        <v>1</v>
      </c>
      <c r="BN123" s="245">
        <f t="shared" si="201"/>
        <v>0</v>
      </c>
      <c r="BO123" s="379"/>
      <c r="BP123" s="376"/>
      <c r="BQ123" s="376"/>
      <c r="BR123" s="376"/>
      <c r="BS123" s="376"/>
      <c r="BT123" s="376"/>
      <c r="BU123" s="373"/>
      <c r="BV123" s="245">
        <f t="shared" si="203"/>
        <v>0</v>
      </c>
      <c r="BX123" s="43"/>
      <c r="BY123" s="24"/>
      <c r="BZ123" s="24"/>
      <c r="CA123" s="24"/>
      <c r="CB123" s="25"/>
      <c r="CC123" s="82">
        <f t="shared" si="204"/>
        <v>0</v>
      </c>
      <c r="CD123" s="198">
        <v>1</v>
      </c>
      <c r="CE123" s="245">
        <f t="shared" si="205"/>
        <v>0</v>
      </c>
      <c r="CF123" s="379"/>
      <c r="CG123" s="376"/>
      <c r="CH123" s="376"/>
      <c r="CI123" s="376"/>
      <c r="CJ123" s="376"/>
      <c r="CK123" s="376"/>
      <c r="CL123" s="373"/>
      <c r="CM123" s="245">
        <f t="shared" si="207"/>
        <v>0</v>
      </c>
      <c r="CN123" s="39"/>
      <c r="CO123" s="55"/>
      <c r="CP123" s="75">
        <f t="shared" si="208"/>
        <v>0</v>
      </c>
      <c r="CQ123" s="3"/>
      <c r="CR123" s="76">
        <f t="shared" si="209"/>
        <v>0</v>
      </c>
      <c r="CT123" s="76">
        <f t="shared" si="105"/>
        <v>0</v>
      </c>
    </row>
    <row r="124" spans="1:98" ht="15" customHeight="1" x14ac:dyDescent="0.2">
      <c r="A124" s="392"/>
      <c r="B124" s="417"/>
      <c r="C124" s="234" t="s">
        <v>220</v>
      </c>
      <c r="D124" s="252" t="s">
        <v>534</v>
      </c>
      <c r="E124" s="234" t="s">
        <v>3</v>
      </c>
      <c r="F124" s="302">
        <f>F1*(0.185*(1.014*1.012*1.015)*1.1/1.12)*1.028</f>
        <v>0.19911861476610671</v>
      </c>
      <c r="H124" s="43"/>
      <c r="I124" s="24"/>
      <c r="J124" s="24"/>
      <c r="K124" s="24"/>
      <c r="L124" s="25"/>
      <c r="M124" s="82">
        <f t="shared" si="188"/>
        <v>0</v>
      </c>
      <c r="N124" s="198">
        <v>1</v>
      </c>
      <c r="O124" s="245">
        <f t="shared" si="189"/>
        <v>0</v>
      </c>
      <c r="P124" s="379"/>
      <c r="Q124" s="376"/>
      <c r="R124" s="376"/>
      <c r="S124" s="376"/>
      <c r="T124" s="376"/>
      <c r="U124" s="376"/>
      <c r="V124" s="373"/>
      <c r="W124" s="245">
        <f t="shared" si="191"/>
        <v>0</v>
      </c>
      <c r="Y124" s="43">
        <v>0</v>
      </c>
      <c r="Z124" s="24"/>
      <c r="AA124" s="24"/>
      <c r="AB124" s="24"/>
      <c r="AC124" s="25"/>
      <c r="AD124" s="82">
        <f t="shared" si="192"/>
        <v>0</v>
      </c>
      <c r="AE124" s="198">
        <v>1</v>
      </c>
      <c r="AF124" s="245">
        <f t="shared" si="193"/>
        <v>0</v>
      </c>
      <c r="AG124" s="379"/>
      <c r="AH124" s="376"/>
      <c r="AI124" s="376"/>
      <c r="AJ124" s="376"/>
      <c r="AK124" s="376"/>
      <c r="AL124" s="376"/>
      <c r="AM124" s="373"/>
      <c r="AN124" s="245">
        <f t="shared" si="195"/>
        <v>0</v>
      </c>
      <c r="AP124" s="43"/>
      <c r="AQ124" s="24"/>
      <c r="AR124" s="24"/>
      <c r="AS124" s="24"/>
      <c r="AT124" s="25"/>
      <c r="AU124" s="82">
        <f t="shared" si="196"/>
        <v>0</v>
      </c>
      <c r="AV124" s="198">
        <v>1</v>
      </c>
      <c r="AW124" s="245">
        <f t="shared" si="197"/>
        <v>0</v>
      </c>
      <c r="AX124" s="379"/>
      <c r="AY124" s="376"/>
      <c r="AZ124" s="376"/>
      <c r="BA124" s="376"/>
      <c r="BB124" s="376"/>
      <c r="BC124" s="376"/>
      <c r="BD124" s="373"/>
      <c r="BE124" s="245">
        <f t="shared" si="199"/>
        <v>0</v>
      </c>
      <c r="BG124" s="43"/>
      <c r="BH124" s="24"/>
      <c r="BI124" s="24"/>
      <c r="BJ124" s="24"/>
      <c r="BK124" s="25"/>
      <c r="BL124" s="82">
        <f t="shared" si="200"/>
        <v>0</v>
      </c>
      <c r="BM124" s="198">
        <v>1</v>
      </c>
      <c r="BN124" s="245">
        <f t="shared" si="201"/>
        <v>0</v>
      </c>
      <c r="BO124" s="379"/>
      <c r="BP124" s="376"/>
      <c r="BQ124" s="376"/>
      <c r="BR124" s="376"/>
      <c r="BS124" s="376"/>
      <c r="BT124" s="376"/>
      <c r="BU124" s="373"/>
      <c r="BV124" s="245">
        <f t="shared" si="203"/>
        <v>0</v>
      </c>
      <c r="BX124" s="43"/>
      <c r="BY124" s="24"/>
      <c r="BZ124" s="24"/>
      <c r="CA124" s="24"/>
      <c r="CB124" s="25"/>
      <c r="CC124" s="82">
        <f t="shared" si="204"/>
        <v>0</v>
      </c>
      <c r="CD124" s="198">
        <v>1</v>
      </c>
      <c r="CE124" s="245">
        <f t="shared" si="205"/>
        <v>0</v>
      </c>
      <c r="CF124" s="379"/>
      <c r="CG124" s="376"/>
      <c r="CH124" s="376"/>
      <c r="CI124" s="376"/>
      <c r="CJ124" s="376"/>
      <c r="CK124" s="376"/>
      <c r="CL124" s="373"/>
      <c r="CM124" s="245">
        <f t="shared" si="207"/>
        <v>0</v>
      </c>
      <c r="CN124" s="39"/>
      <c r="CO124" s="55"/>
      <c r="CP124" s="75">
        <f t="shared" si="208"/>
        <v>0</v>
      </c>
      <c r="CQ124" s="3"/>
      <c r="CR124" s="76">
        <f t="shared" si="209"/>
        <v>0</v>
      </c>
      <c r="CT124" s="76">
        <f t="shared" si="105"/>
        <v>0</v>
      </c>
    </row>
    <row r="125" spans="1:98" ht="15" customHeight="1" x14ac:dyDescent="0.2">
      <c r="A125" s="392"/>
      <c r="B125" s="394" t="s">
        <v>41</v>
      </c>
      <c r="C125" s="234" t="s">
        <v>221</v>
      </c>
      <c r="D125" s="201" t="s">
        <v>357</v>
      </c>
      <c r="E125" s="202"/>
      <c r="F125" s="322"/>
      <c r="H125" s="43"/>
      <c r="I125" s="24"/>
      <c r="J125" s="24"/>
      <c r="K125" s="24"/>
      <c r="L125" s="25"/>
      <c r="M125" s="82">
        <f t="shared" si="188"/>
        <v>0</v>
      </c>
      <c r="N125" s="198">
        <v>1</v>
      </c>
      <c r="O125" s="245">
        <f t="shared" si="189"/>
        <v>0</v>
      </c>
      <c r="P125" s="379"/>
      <c r="Q125" s="376"/>
      <c r="R125" s="376"/>
      <c r="S125" s="376"/>
      <c r="T125" s="376"/>
      <c r="U125" s="376"/>
      <c r="V125" s="373"/>
      <c r="W125" s="245">
        <f t="shared" si="191"/>
        <v>0</v>
      </c>
      <c r="Y125" s="43"/>
      <c r="Z125" s="24"/>
      <c r="AA125" s="24"/>
      <c r="AB125" s="24"/>
      <c r="AC125" s="25"/>
      <c r="AD125" s="82">
        <f t="shared" si="192"/>
        <v>0</v>
      </c>
      <c r="AE125" s="198">
        <v>1</v>
      </c>
      <c r="AF125" s="245">
        <f t="shared" si="193"/>
        <v>0</v>
      </c>
      <c r="AG125" s="379"/>
      <c r="AH125" s="376"/>
      <c r="AI125" s="376"/>
      <c r="AJ125" s="376"/>
      <c r="AK125" s="376"/>
      <c r="AL125" s="376"/>
      <c r="AM125" s="373"/>
      <c r="AN125" s="245">
        <f t="shared" si="195"/>
        <v>0</v>
      </c>
      <c r="AP125" s="43"/>
      <c r="AQ125" s="24"/>
      <c r="AR125" s="24"/>
      <c r="AS125" s="24"/>
      <c r="AT125" s="25"/>
      <c r="AU125" s="82">
        <f t="shared" si="196"/>
        <v>0</v>
      </c>
      <c r="AV125" s="198">
        <v>1</v>
      </c>
      <c r="AW125" s="245">
        <f t="shared" si="197"/>
        <v>0</v>
      </c>
      <c r="AX125" s="379"/>
      <c r="AY125" s="376"/>
      <c r="AZ125" s="376"/>
      <c r="BA125" s="376"/>
      <c r="BB125" s="376"/>
      <c r="BC125" s="376"/>
      <c r="BD125" s="373"/>
      <c r="BE125" s="245">
        <f t="shared" si="199"/>
        <v>0</v>
      </c>
      <c r="BG125" s="43"/>
      <c r="BH125" s="24"/>
      <c r="BI125" s="24"/>
      <c r="BJ125" s="24"/>
      <c r="BK125" s="25"/>
      <c r="BL125" s="82">
        <f t="shared" si="200"/>
        <v>0</v>
      </c>
      <c r="BM125" s="198">
        <v>1</v>
      </c>
      <c r="BN125" s="245">
        <f t="shared" si="201"/>
        <v>0</v>
      </c>
      <c r="BO125" s="379"/>
      <c r="BP125" s="376"/>
      <c r="BQ125" s="376"/>
      <c r="BR125" s="376"/>
      <c r="BS125" s="376"/>
      <c r="BT125" s="376"/>
      <c r="BU125" s="373"/>
      <c r="BV125" s="245">
        <f t="shared" si="203"/>
        <v>0</v>
      </c>
      <c r="BX125" s="43"/>
      <c r="BY125" s="24"/>
      <c r="BZ125" s="24"/>
      <c r="CA125" s="24"/>
      <c r="CB125" s="25"/>
      <c r="CC125" s="82">
        <f t="shared" si="204"/>
        <v>0</v>
      </c>
      <c r="CD125" s="198">
        <v>1</v>
      </c>
      <c r="CE125" s="245">
        <f t="shared" si="205"/>
        <v>0</v>
      </c>
      <c r="CF125" s="379"/>
      <c r="CG125" s="376"/>
      <c r="CH125" s="376"/>
      <c r="CI125" s="376"/>
      <c r="CJ125" s="376"/>
      <c r="CK125" s="376"/>
      <c r="CL125" s="373"/>
      <c r="CM125" s="245">
        <f t="shared" si="207"/>
        <v>0</v>
      </c>
      <c r="CN125" s="39"/>
      <c r="CO125" s="55"/>
      <c r="CP125" s="75">
        <f t="shared" si="208"/>
        <v>0</v>
      </c>
      <c r="CQ125" s="3"/>
      <c r="CR125" s="76">
        <f t="shared" si="209"/>
        <v>0</v>
      </c>
      <c r="CT125" s="76">
        <f t="shared" si="105"/>
        <v>0</v>
      </c>
    </row>
    <row r="126" spans="1:98" ht="15" customHeight="1" x14ac:dyDescent="0.2">
      <c r="A126" s="392"/>
      <c r="B126" s="395"/>
      <c r="C126" s="234" t="s">
        <v>222</v>
      </c>
      <c r="D126" s="201" t="s">
        <v>357</v>
      </c>
      <c r="E126" s="202"/>
      <c r="F126" s="322"/>
      <c r="H126" s="43"/>
      <c r="I126" s="24"/>
      <c r="J126" s="24"/>
      <c r="K126" s="24"/>
      <c r="L126" s="25"/>
      <c r="M126" s="82">
        <f t="shared" si="188"/>
        <v>0</v>
      </c>
      <c r="N126" s="198">
        <v>1</v>
      </c>
      <c r="O126" s="245">
        <f t="shared" si="189"/>
        <v>0</v>
      </c>
      <c r="P126" s="379"/>
      <c r="Q126" s="376"/>
      <c r="R126" s="376"/>
      <c r="S126" s="376"/>
      <c r="T126" s="376"/>
      <c r="U126" s="376"/>
      <c r="V126" s="373"/>
      <c r="W126" s="245">
        <f t="shared" si="191"/>
        <v>0</v>
      </c>
      <c r="Y126" s="43"/>
      <c r="Z126" s="24"/>
      <c r="AA126" s="24"/>
      <c r="AB126" s="24"/>
      <c r="AC126" s="25"/>
      <c r="AD126" s="82">
        <f t="shared" si="192"/>
        <v>0</v>
      </c>
      <c r="AE126" s="198">
        <v>1</v>
      </c>
      <c r="AF126" s="245">
        <f t="shared" si="193"/>
        <v>0</v>
      </c>
      <c r="AG126" s="379"/>
      <c r="AH126" s="376"/>
      <c r="AI126" s="376"/>
      <c r="AJ126" s="376"/>
      <c r="AK126" s="376"/>
      <c r="AL126" s="376"/>
      <c r="AM126" s="373"/>
      <c r="AN126" s="245">
        <f t="shared" si="195"/>
        <v>0</v>
      </c>
      <c r="AP126" s="43"/>
      <c r="AQ126" s="24"/>
      <c r="AR126" s="24"/>
      <c r="AS126" s="24"/>
      <c r="AT126" s="25"/>
      <c r="AU126" s="82">
        <f t="shared" si="196"/>
        <v>0</v>
      </c>
      <c r="AV126" s="198">
        <v>1</v>
      </c>
      <c r="AW126" s="245">
        <f t="shared" si="197"/>
        <v>0</v>
      </c>
      <c r="AX126" s="379"/>
      <c r="AY126" s="376"/>
      <c r="AZ126" s="376"/>
      <c r="BA126" s="376"/>
      <c r="BB126" s="376"/>
      <c r="BC126" s="376"/>
      <c r="BD126" s="373"/>
      <c r="BE126" s="245">
        <f t="shared" si="199"/>
        <v>0</v>
      </c>
      <c r="BG126" s="43"/>
      <c r="BH126" s="24"/>
      <c r="BI126" s="24"/>
      <c r="BJ126" s="24"/>
      <c r="BK126" s="25"/>
      <c r="BL126" s="82">
        <f t="shared" si="200"/>
        <v>0</v>
      </c>
      <c r="BM126" s="198">
        <v>1</v>
      </c>
      <c r="BN126" s="245">
        <f t="shared" si="201"/>
        <v>0</v>
      </c>
      <c r="BO126" s="379"/>
      <c r="BP126" s="376"/>
      <c r="BQ126" s="376"/>
      <c r="BR126" s="376"/>
      <c r="BS126" s="376"/>
      <c r="BT126" s="376"/>
      <c r="BU126" s="373"/>
      <c r="BV126" s="245">
        <f t="shared" si="203"/>
        <v>0</v>
      </c>
      <c r="BX126" s="43"/>
      <c r="BY126" s="24"/>
      <c r="BZ126" s="24"/>
      <c r="CA126" s="24"/>
      <c r="CB126" s="25"/>
      <c r="CC126" s="82">
        <f t="shared" si="204"/>
        <v>0</v>
      </c>
      <c r="CD126" s="198">
        <v>1</v>
      </c>
      <c r="CE126" s="245">
        <f t="shared" si="205"/>
        <v>0</v>
      </c>
      <c r="CF126" s="379"/>
      <c r="CG126" s="376"/>
      <c r="CH126" s="376"/>
      <c r="CI126" s="376"/>
      <c r="CJ126" s="376"/>
      <c r="CK126" s="376"/>
      <c r="CL126" s="373"/>
      <c r="CM126" s="245">
        <f t="shared" si="207"/>
        <v>0</v>
      </c>
      <c r="CN126" s="39"/>
      <c r="CO126" s="55"/>
      <c r="CP126" s="75">
        <f t="shared" si="208"/>
        <v>0</v>
      </c>
      <c r="CQ126" s="3"/>
      <c r="CR126" s="76">
        <f t="shared" si="209"/>
        <v>0</v>
      </c>
      <c r="CT126" s="76">
        <f t="shared" si="105"/>
        <v>0</v>
      </c>
    </row>
    <row r="127" spans="1:98" ht="15" customHeight="1" x14ac:dyDescent="0.2">
      <c r="A127" s="392"/>
      <c r="B127" s="395"/>
      <c r="C127" s="234" t="s">
        <v>223</v>
      </c>
      <c r="D127" s="204" t="s">
        <v>215</v>
      </c>
      <c r="E127" s="205" t="s">
        <v>10</v>
      </c>
      <c r="F127" s="323"/>
      <c r="H127" s="43"/>
      <c r="I127" s="24"/>
      <c r="J127" s="24"/>
      <c r="K127" s="24"/>
      <c r="L127" s="25"/>
      <c r="M127" s="82"/>
      <c r="N127" s="246"/>
      <c r="O127" s="245">
        <f>SUM(H127:L127)</f>
        <v>0</v>
      </c>
      <c r="P127" s="379"/>
      <c r="Q127" s="376"/>
      <c r="R127" s="376"/>
      <c r="S127" s="376"/>
      <c r="T127" s="376"/>
      <c r="U127" s="376"/>
      <c r="V127" s="373"/>
      <c r="W127" s="245">
        <f t="shared" si="191"/>
        <v>0</v>
      </c>
      <c r="Y127" s="43"/>
      <c r="Z127" s="24"/>
      <c r="AA127" s="24"/>
      <c r="AB127" s="24"/>
      <c r="AC127" s="25"/>
      <c r="AD127" s="82"/>
      <c r="AE127" s="246"/>
      <c r="AF127" s="245">
        <f>SUM(Y127:AC127)</f>
        <v>0</v>
      </c>
      <c r="AG127" s="379"/>
      <c r="AH127" s="376"/>
      <c r="AI127" s="376"/>
      <c r="AJ127" s="376"/>
      <c r="AK127" s="376"/>
      <c r="AL127" s="376"/>
      <c r="AM127" s="373"/>
      <c r="AN127" s="245">
        <f t="shared" si="195"/>
        <v>0</v>
      </c>
      <c r="AP127" s="43"/>
      <c r="AQ127" s="24"/>
      <c r="AR127" s="24"/>
      <c r="AS127" s="24"/>
      <c r="AT127" s="25"/>
      <c r="AU127" s="82"/>
      <c r="AV127" s="246"/>
      <c r="AW127" s="245">
        <f>SUM(AP127:AT127)</f>
        <v>0</v>
      </c>
      <c r="AX127" s="379"/>
      <c r="AY127" s="376"/>
      <c r="AZ127" s="376"/>
      <c r="BA127" s="376"/>
      <c r="BB127" s="376"/>
      <c r="BC127" s="376"/>
      <c r="BD127" s="373"/>
      <c r="BE127" s="245">
        <f t="shared" si="199"/>
        <v>0</v>
      </c>
      <c r="BG127" s="43"/>
      <c r="BH127" s="24"/>
      <c r="BI127" s="24"/>
      <c r="BJ127" s="24"/>
      <c r="BK127" s="25"/>
      <c r="BL127" s="82"/>
      <c r="BM127" s="246"/>
      <c r="BN127" s="245">
        <f>SUM(BG127:BK127)</f>
        <v>0</v>
      </c>
      <c r="BO127" s="379"/>
      <c r="BP127" s="376"/>
      <c r="BQ127" s="376"/>
      <c r="BR127" s="376"/>
      <c r="BS127" s="376"/>
      <c r="BT127" s="376"/>
      <c r="BU127" s="373"/>
      <c r="BV127" s="245">
        <f t="shared" si="203"/>
        <v>0</v>
      </c>
      <c r="BX127" s="43"/>
      <c r="BY127" s="24"/>
      <c r="BZ127" s="24"/>
      <c r="CA127" s="24"/>
      <c r="CB127" s="25"/>
      <c r="CC127" s="82"/>
      <c r="CD127" s="246"/>
      <c r="CE127" s="245">
        <f>SUM(BX127:CB127)</f>
        <v>0</v>
      </c>
      <c r="CF127" s="379"/>
      <c r="CG127" s="376"/>
      <c r="CH127" s="376"/>
      <c r="CI127" s="376"/>
      <c r="CJ127" s="376"/>
      <c r="CK127" s="376"/>
      <c r="CL127" s="373"/>
      <c r="CM127" s="245">
        <f t="shared" si="207"/>
        <v>0</v>
      </c>
      <c r="CN127" s="39"/>
      <c r="CO127" s="55"/>
      <c r="CP127" s="75">
        <f t="shared" si="208"/>
        <v>0</v>
      </c>
      <c r="CQ127" s="3"/>
      <c r="CR127" s="76">
        <f t="shared" si="209"/>
        <v>0</v>
      </c>
      <c r="CT127" s="76">
        <f t="shared" si="105"/>
        <v>0</v>
      </c>
    </row>
    <row r="128" spans="1:98" ht="15" customHeight="1" x14ac:dyDescent="0.2">
      <c r="A128" s="392"/>
      <c r="B128" s="395"/>
      <c r="C128" s="234" t="s">
        <v>538</v>
      </c>
      <c r="D128" s="208" t="s">
        <v>215</v>
      </c>
      <c r="E128" s="205" t="s">
        <v>10</v>
      </c>
      <c r="F128" s="323"/>
      <c r="H128" s="43"/>
      <c r="I128" s="24"/>
      <c r="J128" s="24"/>
      <c r="K128" s="24"/>
      <c r="L128" s="25"/>
      <c r="M128" s="82"/>
      <c r="N128" s="246"/>
      <c r="O128" s="245">
        <f>SUM(H128:L128)</f>
        <v>0</v>
      </c>
      <c r="P128" s="380"/>
      <c r="Q128" s="377"/>
      <c r="R128" s="377"/>
      <c r="S128" s="377"/>
      <c r="T128" s="377"/>
      <c r="U128" s="377"/>
      <c r="V128" s="374"/>
      <c r="W128" s="245">
        <f t="shared" si="191"/>
        <v>0</v>
      </c>
      <c r="Y128" s="43"/>
      <c r="Z128" s="24"/>
      <c r="AA128" s="24"/>
      <c r="AB128" s="24"/>
      <c r="AC128" s="25"/>
      <c r="AD128" s="82"/>
      <c r="AE128" s="246"/>
      <c r="AF128" s="245">
        <f>SUM(Y128:AC128)</f>
        <v>0</v>
      </c>
      <c r="AG128" s="380"/>
      <c r="AH128" s="377"/>
      <c r="AI128" s="377"/>
      <c r="AJ128" s="377"/>
      <c r="AK128" s="377"/>
      <c r="AL128" s="377"/>
      <c r="AM128" s="374"/>
      <c r="AN128" s="245">
        <f t="shared" si="195"/>
        <v>0</v>
      </c>
      <c r="AP128" s="43"/>
      <c r="AQ128" s="24"/>
      <c r="AR128" s="24"/>
      <c r="AS128" s="24"/>
      <c r="AT128" s="25"/>
      <c r="AU128" s="82"/>
      <c r="AV128" s="246"/>
      <c r="AW128" s="245">
        <f>SUM(AP128:AT128)</f>
        <v>0</v>
      </c>
      <c r="AX128" s="380"/>
      <c r="AY128" s="377"/>
      <c r="AZ128" s="377"/>
      <c r="BA128" s="377"/>
      <c r="BB128" s="377"/>
      <c r="BC128" s="377"/>
      <c r="BD128" s="374"/>
      <c r="BE128" s="245">
        <f t="shared" si="199"/>
        <v>0</v>
      </c>
      <c r="BG128" s="43"/>
      <c r="BH128" s="24"/>
      <c r="BI128" s="24"/>
      <c r="BJ128" s="24"/>
      <c r="BK128" s="25"/>
      <c r="BL128" s="82"/>
      <c r="BM128" s="246"/>
      <c r="BN128" s="245">
        <f>SUM(BG128:BK128)</f>
        <v>0</v>
      </c>
      <c r="BO128" s="380"/>
      <c r="BP128" s="377"/>
      <c r="BQ128" s="377"/>
      <c r="BR128" s="377"/>
      <c r="BS128" s="377"/>
      <c r="BT128" s="377"/>
      <c r="BU128" s="374"/>
      <c r="BV128" s="245">
        <f t="shared" si="203"/>
        <v>0</v>
      </c>
      <c r="BX128" s="43"/>
      <c r="BY128" s="24"/>
      <c r="BZ128" s="24"/>
      <c r="CA128" s="24"/>
      <c r="CB128" s="25"/>
      <c r="CC128" s="82"/>
      <c r="CD128" s="246"/>
      <c r="CE128" s="245">
        <f>SUM(BX128:CB128)</f>
        <v>0</v>
      </c>
      <c r="CF128" s="380"/>
      <c r="CG128" s="377"/>
      <c r="CH128" s="377"/>
      <c r="CI128" s="377"/>
      <c r="CJ128" s="377"/>
      <c r="CK128" s="377"/>
      <c r="CL128" s="374"/>
      <c r="CM128" s="245">
        <f t="shared" si="207"/>
        <v>0</v>
      </c>
      <c r="CN128" s="39"/>
      <c r="CO128" s="3"/>
      <c r="CP128" s="75">
        <f t="shared" si="208"/>
        <v>0</v>
      </c>
      <c r="CQ128" s="3"/>
      <c r="CR128" s="76">
        <f t="shared" si="209"/>
        <v>0</v>
      </c>
      <c r="CT128" s="76">
        <f t="shared" si="105"/>
        <v>0</v>
      </c>
    </row>
    <row r="129" spans="1:98" ht="15" customHeight="1" thickBot="1" x14ac:dyDescent="0.25">
      <c r="A129" s="393"/>
      <c r="B129" s="223"/>
      <c r="C129" s="224"/>
      <c r="D129" s="225" t="s">
        <v>22</v>
      </c>
      <c r="E129" s="224"/>
      <c r="F129" s="325"/>
      <c r="H129" s="141"/>
      <c r="I129" s="142"/>
      <c r="J129" s="142"/>
      <c r="K129" s="142"/>
      <c r="L129" s="142"/>
      <c r="M129" s="227"/>
      <c r="N129" s="228"/>
      <c r="O129" s="229">
        <f>SUM(O121:O128)</f>
        <v>0</v>
      </c>
      <c r="P129" s="230"/>
      <c r="Q129" s="230"/>
      <c r="R129" s="230"/>
      <c r="S129" s="230"/>
      <c r="T129" s="230"/>
      <c r="U129" s="230"/>
      <c r="V129" s="228"/>
      <c r="W129" s="229">
        <f>SUM(W121:W128)</f>
        <v>0</v>
      </c>
      <c r="Y129" s="141"/>
      <c r="Z129" s="142"/>
      <c r="AA129" s="142"/>
      <c r="AB129" s="142"/>
      <c r="AC129" s="142"/>
      <c r="AD129" s="227"/>
      <c r="AE129" s="228"/>
      <c r="AF129" s="229">
        <f>SUM(AF121:AF128)</f>
        <v>46.954321995521113</v>
      </c>
      <c r="AG129" s="230"/>
      <c r="AH129" s="230"/>
      <c r="AI129" s="230"/>
      <c r="AJ129" s="230"/>
      <c r="AK129" s="230"/>
      <c r="AL129" s="230"/>
      <c r="AM129" s="228"/>
      <c r="AN129" s="229">
        <f>SUM(AN121:AN128)</f>
        <v>56.934247145787964</v>
      </c>
      <c r="AP129" s="141"/>
      <c r="AQ129" s="142"/>
      <c r="AR129" s="142"/>
      <c r="AS129" s="142"/>
      <c r="AT129" s="142"/>
      <c r="AU129" s="227"/>
      <c r="AV129" s="228"/>
      <c r="AW129" s="229">
        <f>SUM(AW121:AW128)</f>
        <v>0</v>
      </c>
      <c r="AX129" s="230"/>
      <c r="AY129" s="230"/>
      <c r="AZ129" s="230"/>
      <c r="BA129" s="230"/>
      <c r="BB129" s="230"/>
      <c r="BC129" s="230"/>
      <c r="BD129" s="228"/>
      <c r="BE129" s="229">
        <f>SUM(BE121:BE128)</f>
        <v>0</v>
      </c>
      <c r="BG129" s="141"/>
      <c r="BH129" s="142"/>
      <c r="BI129" s="142"/>
      <c r="BJ129" s="142"/>
      <c r="BK129" s="142"/>
      <c r="BL129" s="227"/>
      <c r="BM129" s="228"/>
      <c r="BN129" s="229">
        <f>SUM(BN121:BN128)</f>
        <v>0</v>
      </c>
      <c r="BO129" s="230"/>
      <c r="BP129" s="230"/>
      <c r="BQ129" s="230"/>
      <c r="BR129" s="230"/>
      <c r="BS129" s="230"/>
      <c r="BT129" s="230"/>
      <c r="BU129" s="228"/>
      <c r="BV129" s="229">
        <f>SUM(BV121:BV128)</f>
        <v>0</v>
      </c>
      <c r="BX129" s="141"/>
      <c r="BY129" s="142"/>
      <c r="BZ129" s="142"/>
      <c r="CA129" s="142"/>
      <c r="CB129" s="142"/>
      <c r="CC129" s="227"/>
      <c r="CD129" s="228"/>
      <c r="CE129" s="229">
        <f>SUM(CE121:CE128)</f>
        <v>0</v>
      </c>
      <c r="CF129" s="230"/>
      <c r="CG129" s="230"/>
      <c r="CH129" s="230"/>
      <c r="CI129" s="230"/>
      <c r="CJ129" s="230"/>
      <c r="CK129" s="230"/>
      <c r="CL129" s="228"/>
      <c r="CM129" s="229">
        <f>SUM(CM121:CM128)</f>
        <v>0</v>
      </c>
      <c r="CN129" s="39"/>
      <c r="CO129" s="3"/>
      <c r="CP129" s="217">
        <f>SUM(CP121:CP128)</f>
        <v>46.954321995521113</v>
      </c>
      <c r="CQ129" s="3"/>
      <c r="CR129" s="217">
        <f>SUM(CR121:CR128)</f>
        <v>56.934247145787964</v>
      </c>
      <c r="CT129" s="217"/>
    </row>
    <row r="130" spans="1:98" ht="15" customHeight="1" x14ac:dyDescent="0.2">
      <c r="A130" s="391" t="s">
        <v>526</v>
      </c>
      <c r="B130" s="422" t="s">
        <v>44</v>
      </c>
      <c r="C130" s="236" t="s">
        <v>231</v>
      </c>
      <c r="D130" s="250" t="s">
        <v>158</v>
      </c>
      <c r="E130" s="236" t="s">
        <v>19</v>
      </c>
      <c r="F130" s="304">
        <f>F1*(0.075*(1.014*1.012*1.015)*1.1/1.17)*1.028</f>
        <v>7.7274029292460009E-2</v>
      </c>
      <c r="H130" s="50"/>
      <c r="I130" s="53"/>
      <c r="J130" s="53"/>
      <c r="K130" s="51"/>
      <c r="L130" s="52"/>
      <c r="M130" s="92">
        <f>SUM(H130:L130)</f>
        <v>0</v>
      </c>
      <c r="N130" s="193">
        <v>1</v>
      </c>
      <c r="O130" s="238">
        <f>$F130*M130*N130</f>
        <v>0</v>
      </c>
      <c r="P130" s="378">
        <f>VLOOKUP(P5,'Databaze rizik'!$K$2:$Z$6,9,FALSE)/100+1</f>
        <v>1.1299999999999999</v>
      </c>
      <c r="Q130" s="375">
        <f>VLOOKUP(Q5,'Databaze rizik'!$K$21:$Z$25,9,FALSE)/100+1</f>
        <v>1.0900000000000001</v>
      </c>
      <c r="R130" s="375">
        <f>VLOOKUP(R5,'Databaze rizik'!$K$41:$Z$45,9,FALSE)/100+1</f>
        <v>1</v>
      </c>
      <c r="S130" s="375">
        <f>VLOOKUP(S5,'Databaze rizik'!$K$61:$Z$66,9,FALSE)/100+1</f>
        <v>1.02</v>
      </c>
      <c r="T130" s="375">
        <f>VLOOKUP(T5,'Databaze rizik'!$K$81:$Z$85,9,FALSE)/100+1</f>
        <v>1.03</v>
      </c>
      <c r="U130" s="375">
        <f>VLOOKUP(U5,'Databaze rizik'!$K$101:$Z$105,9,FALSE)/100+1</f>
        <v>1</v>
      </c>
      <c r="V130" s="372">
        <f t="shared" ref="V130" si="210">P130*Q130*R130*S130*T130*U130</f>
        <v>1.2940240200000002</v>
      </c>
      <c r="W130" s="238">
        <f t="shared" ref="W130:W157" si="211">O130*V$130</f>
        <v>0</v>
      </c>
      <c r="Y130" s="50"/>
      <c r="Z130" s="53"/>
      <c r="AA130" s="53"/>
      <c r="AB130" s="51"/>
      <c r="AC130" s="52"/>
      <c r="AD130" s="92">
        <f>SUM(Y130:AC130)</f>
        <v>0</v>
      </c>
      <c r="AE130" s="193">
        <v>1</v>
      </c>
      <c r="AF130" s="238">
        <f>$F130*AD130*AE130</f>
        <v>0</v>
      </c>
      <c r="AG130" s="378">
        <f>VLOOKUP(AG5,'Databaze rizik'!$K$2:$Z$6,9,FALSE)/100+1</f>
        <v>1.1299999999999999</v>
      </c>
      <c r="AH130" s="375">
        <f>VLOOKUP(AH5,'Databaze rizik'!$K$21:$Z$25,9,FALSE)/100+1</f>
        <v>1.0900000000000001</v>
      </c>
      <c r="AI130" s="375">
        <f>VLOOKUP(AI5,'Databaze rizik'!$K$41:$Z$45,9,FALSE)/100+1</f>
        <v>1</v>
      </c>
      <c r="AJ130" s="375">
        <f>VLOOKUP(AJ5,'Databaze rizik'!$K$61:$Z$66,9,FALSE)/100+1</f>
        <v>1.02</v>
      </c>
      <c r="AK130" s="375">
        <f>VLOOKUP(AK5,'Databaze rizik'!$K$81:$Z$85,9,FALSE)/100+1</f>
        <v>1.03</v>
      </c>
      <c r="AL130" s="375">
        <f>VLOOKUP(AL5,'Databaze rizik'!$K$101:$Z$105,9,FALSE)/100+1</f>
        <v>1</v>
      </c>
      <c r="AM130" s="372">
        <f t="shared" ref="AM130" si="212">AG130*AH130*AI130*AJ130*AK130*AL130</f>
        <v>1.2940240200000002</v>
      </c>
      <c r="AN130" s="238">
        <f t="shared" ref="AN130:AN157" si="213">AF130*AM$130</f>
        <v>0</v>
      </c>
      <c r="AP130" s="50"/>
      <c r="AQ130" s="53"/>
      <c r="AR130" s="53"/>
      <c r="AS130" s="51"/>
      <c r="AT130" s="52"/>
      <c r="AU130" s="92">
        <f>SUM(AP130:AT130)</f>
        <v>0</v>
      </c>
      <c r="AV130" s="193">
        <v>1</v>
      </c>
      <c r="AW130" s="238">
        <f>$F130*AU130*AV130</f>
        <v>0</v>
      </c>
      <c r="AX130" s="378">
        <f>VLOOKUP(AX5,'Databaze rizik'!$K$2:$Z$6,9,FALSE)/100+1</f>
        <v>1.1299999999999999</v>
      </c>
      <c r="AY130" s="375">
        <f>VLOOKUP(AY5,'Databaze rizik'!$K$21:$Z$25,9,FALSE)/100+1</f>
        <v>1.0900000000000001</v>
      </c>
      <c r="AZ130" s="375">
        <f>VLOOKUP(AZ5,'Databaze rizik'!$K$41:$Z$45,9,FALSE)/100+1</f>
        <v>1</v>
      </c>
      <c r="BA130" s="375">
        <f>VLOOKUP(BA5,'Databaze rizik'!$K$61:$Z$66,9,FALSE)/100+1</f>
        <v>1.02</v>
      </c>
      <c r="BB130" s="375">
        <f>VLOOKUP(BB5,'Databaze rizik'!$K$81:$Z$85,9,FALSE)/100+1</f>
        <v>1.03</v>
      </c>
      <c r="BC130" s="375">
        <f>VLOOKUP(BC5,'Databaze rizik'!$K$101:$Z$105,9,FALSE)/100+1</f>
        <v>1</v>
      </c>
      <c r="BD130" s="372">
        <f t="shared" ref="BD130" si="214">AX130*AY130*AZ130*BA130*BB130*BC130</f>
        <v>1.2940240200000002</v>
      </c>
      <c r="BE130" s="238">
        <f t="shared" ref="BE130:BE157" si="215">AW130*BD$130</f>
        <v>0</v>
      </c>
      <c r="BG130" s="50"/>
      <c r="BH130" s="53"/>
      <c r="BI130" s="53"/>
      <c r="BJ130" s="51"/>
      <c r="BK130" s="52"/>
      <c r="BL130" s="92">
        <f>SUM(BG130:BK130)</f>
        <v>0</v>
      </c>
      <c r="BM130" s="193">
        <v>1</v>
      </c>
      <c r="BN130" s="238">
        <f>$F130*BL130*BM130</f>
        <v>0</v>
      </c>
      <c r="BO130" s="378">
        <f>VLOOKUP(BO5,'Databaze rizik'!$K$2:$Z$6,9,FALSE)/100+1</f>
        <v>1</v>
      </c>
      <c r="BP130" s="375">
        <f>VLOOKUP(BP5,'Databaze rizik'!$K$21:$Z$25,9,FALSE)/100+1</f>
        <v>1</v>
      </c>
      <c r="BQ130" s="375">
        <f>VLOOKUP(BQ5,'Databaze rizik'!$K$41:$Z$45,9,FALSE)/100+1</f>
        <v>1</v>
      </c>
      <c r="BR130" s="375">
        <f>VLOOKUP(BR5,'Databaze rizik'!$K$61:$Z$66,9,FALSE)/100+1</f>
        <v>1.02</v>
      </c>
      <c r="BS130" s="375">
        <f>VLOOKUP(BS5,'Databaze rizik'!$K$81:$Z$85,9,FALSE)/100+1</f>
        <v>1.03</v>
      </c>
      <c r="BT130" s="375">
        <f>VLOOKUP(BT5,'Databaze rizik'!$K$101:$Z$105,9,FALSE)/100+1</f>
        <v>1</v>
      </c>
      <c r="BU130" s="372">
        <f t="shared" ref="BU130" si="216">BO130*BP130*BQ130*BR130*BS130*BT130</f>
        <v>1.0506</v>
      </c>
      <c r="BV130" s="238">
        <f t="shared" ref="BV130:BV157" si="217">BN130*BU$130</f>
        <v>0</v>
      </c>
      <c r="BX130" s="50"/>
      <c r="BY130" s="53"/>
      <c r="BZ130" s="53"/>
      <c r="CA130" s="51"/>
      <c r="CB130" s="52"/>
      <c r="CC130" s="92">
        <f>SUM(BX130:CB130)</f>
        <v>0</v>
      </c>
      <c r="CD130" s="193">
        <v>1</v>
      </c>
      <c r="CE130" s="238">
        <f>$F130*CC130*CD130</f>
        <v>0</v>
      </c>
      <c r="CF130" s="378">
        <f>VLOOKUP(CF5,'Databaze rizik'!$K$2:$Z$6,9,FALSE)/100+1</f>
        <v>1</v>
      </c>
      <c r="CG130" s="375">
        <f>VLOOKUP(CG5,'Databaze rizik'!$K$21:$Z$25,9,FALSE)/100+1</f>
        <v>1</v>
      </c>
      <c r="CH130" s="375">
        <f>VLOOKUP(CH5,'Databaze rizik'!$K$41:$Z$45,9,FALSE)/100+1</f>
        <v>1</v>
      </c>
      <c r="CI130" s="375">
        <f>VLOOKUP(CI5,'Databaze rizik'!$K$61:$Z$66,9,FALSE)/100+1</f>
        <v>1.02</v>
      </c>
      <c r="CJ130" s="375">
        <f>VLOOKUP(CJ5,'Databaze rizik'!$K$81:$Z$85,9,FALSE)/100+1</f>
        <v>1.03</v>
      </c>
      <c r="CK130" s="375">
        <f>VLOOKUP(CK5,'Databaze rizik'!$K$101:$Z$105,9,FALSE)/100+1</f>
        <v>1</v>
      </c>
      <c r="CL130" s="372">
        <f t="shared" ref="CL130" si="218">CF130*CG130*CH130*CI130*CJ130*CK130</f>
        <v>1.0506</v>
      </c>
      <c r="CM130" s="238">
        <f t="shared" ref="CM130:CM157" si="219">CE130*CL$130</f>
        <v>0</v>
      </c>
      <c r="CN130" s="39"/>
      <c r="CO130" s="3"/>
      <c r="CP130" s="77">
        <f t="shared" ref="CP130:CP157" si="220">SUMIF(H$1:CM$1,1,H130:CM130)</f>
        <v>0</v>
      </c>
      <c r="CQ130" s="3"/>
      <c r="CR130" s="77">
        <f t="shared" ref="CR130:CR157" si="221">SUMIF(H$1:CM$1,2,H130:CM130)</f>
        <v>0</v>
      </c>
      <c r="CT130" s="77">
        <f t="shared" si="105"/>
        <v>0</v>
      </c>
    </row>
    <row r="131" spans="1:98" s="4" customFormat="1" ht="15" customHeight="1" x14ac:dyDescent="0.2">
      <c r="A131" s="392"/>
      <c r="B131" s="423"/>
      <c r="C131" s="234" t="s">
        <v>232</v>
      </c>
      <c r="D131" s="235" t="s">
        <v>156</v>
      </c>
      <c r="E131" s="321" t="s">
        <v>19</v>
      </c>
      <c r="F131" s="301">
        <f>F1*(0.095*(1.014*1.012*1.015)*1.1/1.17)*1.028</f>
        <v>9.7880437103782678E-2</v>
      </c>
      <c r="G131" s="1"/>
      <c r="H131" s="44"/>
      <c r="I131" s="26"/>
      <c r="J131" s="26"/>
      <c r="K131" s="45"/>
      <c r="L131" s="54"/>
      <c r="M131" s="74">
        <f t="shared" ref="M131:M149" si="222">SUM(H131:L131)</f>
        <v>0</v>
      </c>
      <c r="N131" s="198">
        <v>1</v>
      </c>
      <c r="O131" s="241">
        <f t="shared" ref="O131:O155" si="223">$F131*M131*N131</f>
        <v>0</v>
      </c>
      <c r="P131" s="379"/>
      <c r="Q131" s="376"/>
      <c r="R131" s="376"/>
      <c r="S131" s="376"/>
      <c r="T131" s="376"/>
      <c r="U131" s="376"/>
      <c r="V131" s="373"/>
      <c r="W131" s="245">
        <f t="shared" si="211"/>
        <v>0</v>
      </c>
      <c r="X131" s="1"/>
      <c r="Y131" s="44"/>
      <c r="Z131" s="26"/>
      <c r="AA131" s="26"/>
      <c r="AB131" s="45"/>
      <c r="AC131" s="54"/>
      <c r="AD131" s="74">
        <f t="shared" ref="AD131:AD155" si="224">SUM(Y131:AC131)</f>
        <v>0</v>
      </c>
      <c r="AE131" s="198">
        <v>1</v>
      </c>
      <c r="AF131" s="241">
        <f t="shared" ref="AF131:AF155" si="225">$F131*AD131*AE131</f>
        <v>0</v>
      </c>
      <c r="AG131" s="379"/>
      <c r="AH131" s="376"/>
      <c r="AI131" s="376"/>
      <c r="AJ131" s="376"/>
      <c r="AK131" s="376"/>
      <c r="AL131" s="376"/>
      <c r="AM131" s="373"/>
      <c r="AN131" s="245">
        <f t="shared" si="213"/>
        <v>0</v>
      </c>
      <c r="AO131" s="1"/>
      <c r="AP131" s="44"/>
      <c r="AQ131" s="26"/>
      <c r="AR131" s="26"/>
      <c r="AS131" s="45"/>
      <c r="AT131" s="54"/>
      <c r="AU131" s="74">
        <f t="shared" ref="AU131:AU155" si="226">SUM(AP131:AT131)</f>
        <v>0</v>
      </c>
      <c r="AV131" s="198">
        <v>1</v>
      </c>
      <c r="AW131" s="241">
        <f t="shared" ref="AW131:AW155" si="227">$F131*AU131*AV131</f>
        <v>0</v>
      </c>
      <c r="AX131" s="379"/>
      <c r="AY131" s="376"/>
      <c r="AZ131" s="376"/>
      <c r="BA131" s="376"/>
      <c r="BB131" s="376"/>
      <c r="BC131" s="376"/>
      <c r="BD131" s="373"/>
      <c r="BE131" s="245">
        <f t="shared" si="215"/>
        <v>0</v>
      </c>
      <c r="BF131" s="1"/>
      <c r="BG131" s="44"/>
      <c r="BH131" s="26"/>
      <c r="BI131" s="26"/>
      <c r="BJ131" s="45"/>
      <c r="BK131" s="54"/>
      <c r="BL131" s="74">
        <f t="shared" ref="BL131:BL155" si="228">SUM(BG131:BK131)</f>
        <v>0</v>
      </c>
      <c r="BM131" s="198">
        <v>1</v>
      </c>
      <c r="BN131" s="241">
        <f t="shared" ref="BN131:BN155" si="229">$F131*BL131*BM131</f>
        <v>0</v>
      </c>
      <c r="BO131" s="379"/>
      <c r="BP131" s="376"/>
      <c r="BQ131" s="376"/>
      <c r="BR131" s="376"/>
      <c r="BS131" s="376"/>
      <c r="BT131" s="376"/>
      <c r="BU131" s="373"/>
      <c r="BV131" s="245">
        <f t="shared" si="217"/>
        <v>0</v>
      </c>
      <c r="BW131" s="1"/>
      <c r="BX131" s="44"/>
      <c r="BY131" s="26"/>
      <c r="BZ131" s="26"/>
      <c r="CA131" s="45"/>
      <c r="CB131" s="54"/>
      <c r="CC131" s="74">
        <f t="shared" ref="CC131:CC155" si="230">SUM(BX131:CB131)</f>
        <v>0</v>
      </c>
      <c r="CD131" s="198">
        <v>1</v>
      </c>
      <c r="CE131" s="241">
        <f t="shared" ref="CE131:CE155" si="231">$F131*CC131*CD131</f>
        <v>0</v>
      </c>
      <c r="CF131" s="379"/>
      <c r="CG131" s="376"/>
      <c r="CH131" s="376"/>
      <c r="CI131" s="376"/>
      <c r="CJ131" s="376"/>
      <c r="CK131" s="376"/>
      <c r="CL131" s="373"/>
      <c r="CM131" s="245">
        <f t="shared" si="219"/>
        <v>0</v>
      </c>
      <c r="CN131" s="39"/>
      <c r="CO131" s="55"/>
      <c r="CP131" s="75">
        <f t="shared" si="220"/>
        <v>0</v>
      </c>
      <c r="CQ131" s="55"/>
      <c r="CR131" s="76">
        <f t="shared" si="221"/>
        <v>0</v>
      </c>
      <c r="CT131" s="76">
        <f t="shared" si="105"/>
        <v>0</v>
      </c>
    </row>
    <row r="132" spans="1:98" ht="15" customHeight="1" x14ac:dyDescent="0.2">
      <c r="A132" s="392"/>
      <c r="B132" s="423"/>
      <c r="C132" s="234" t="s">
        <v>233</v>
      </c>
      <c r="D132" s="235" t="s">
        <v>157</v>
      </c>
      <c r="E132" s="321" t="s">
        <v>19</v>
      </c>
      <c r="F132" s="301">
        <f>F1*(0.06*(1.014*1.012*1.015)*1.1/1.17)*1.028</f>
        <v>6.1819223433968E-2</v>
      </c>
      <c r="H132" s="44"/>
      <c r="I132" s="26"/>
      <c r="J132" s="26"/>
      <c r="K132" s="45"/>
      <c r="L132" s="54"/>
      <c r="M132" s="74">
        <f t="shared" si="222"/>
        <v>0</v>
      </c>
      <c r="N132" s="198">
        <v>1</v>
      </c>
      <c r="O132" s="241">
        <f t="shared" si="223"/>
        <v>0</v>
      </c>
      <c r="P132" s="379"/>
      <c r="Q132" s="376"/>
      <c r="R132" s="376"/>
      <c r="S132" s="376"/>
      <c r="T132" s="376"/>
      <c r="U132" s="376"/>
      <c r="V132" s="373"/>
      <c r="W132" s="245">
        <f t="shared" si="211"/>
        <v>0</v>
      </c>
      <c r="Y132" s="42">
        <v>739.68</v>
      </c>
      <c r="Z132" s="26"/>
      <c r="AA132" s="26"/>
      <c r="AB132" s="45"/>
      <c r="AC132" s="54"/>
      <c r="AD132" s="74">
        <f t="shared" si="224"/>
        <v>739.68</v>
      </c>
      <c r="AE132" s="198">
        <v>1</v>
      </c>
      <c r="AF132" s="241">
        <f t="shared" si="225"/>
        <v>45.72644318963745</v>
      </c>
      <c r="AG132" s="379"/>
      <c r="AH132" s="376"/>
      <c r="AI132" s="376"/>
      <c r="AJ132" s="376"/>
      <c r="AK132" s="376"/>
      <c r="AL132" s="376"/>
      <c r="AM132" s="373"/>
      <c r="AN132" s="245">
        <f t="shared" si="213"/>
        <v>59.171115836556282</v>
      </c>
      <c r="AP132" s="44"/>
      <c r="AQ132" s="26"/>
      <c r="AR132" s="26"/>
      <c r="AS132" s="45"/>
      <c r="AT132" s="54"/>
      <c r="AU132" s="74">
        <f t="shared" si="226"/>
        <v>0</v>
      </c>
      <c r="AV132" s="198">
        <v>1</v>
      </c>
      <c r="AW132" s="241">
        <f t="shared" si="227"/>
        <v>0</v>
      </c>
      <c r="AX132" s="379"/>
      <c r="AY132" s="376"/>
      <c r="AZ132" s="376"/>
      <c r="BA132" s="376"/>
      <c r="BB132" s="376"/>
      <c r="BC132" s="376"/>
      <c r="BD132" s="373"/>
      <c r="BE132" s="245">
        <f t="shared" si="215"/>
        <v>0</v>
      </c>
      <c r="BG132" s="44"/>
      <c r="BH132" s="26"/>
      <c r="BI132" s="26"/>
      <c r="BJ132" s="45"/>
      <c r="BK132" s="54"/>
      <c r="BL132" s="74">
        <f t="shared" si="228"/>
        <v>0</v>
      </c>
      <c r="BM132" s="198">
        <v>1</v>
      </c>
      <c r="BN132" s="241">
        <f t="shared" si="229"/>
        <v>0</v>
      </c>
      <c r="BO132" s="379"/>
      <c r="BP132" s="376"/>
      <c r="BQ132" s="376"/>
      <c r="BR132" s="376"/>
      <c r="BS132" s="376"/>
      <c r="BT132" s="376"/>
      <c r="BU132" s="373"/>
      <c r="BV132" s="245">
        <f t="shared" si="217"/>
        <v>0</v>
      </c>
      <c r="BX132" s="44"/>
      <c r="BY132" s="26"/>
      <c r="BZ132" s="26"/>
      <c r="CA132" s="45"/>
      <c r="CB132" s="54"/>
      <c r="CC132" s="74">
        <f t="shared" si="230"/>
        <v>0</v>
      </c>
      <c r="CD132" s="198">
        <v>1</v>
      </c>
      <c r="CE132" s="241">
        <f t="shared" si="231"/>
        <v>0</v>
      </c>
      <c r="CF132" s="379"/>
      <c r="CG132" s="376"/>
      <c r="CH132" s="376"/>
      <c r="CI132" s="376"/>
      <c r="CJ132" s="376"/>
      <c r="CK132" s="376"/>
      <c r="CL132" s="373"/>
      <c r="CM132" s="245">
        <f t="shared" si="219"/>
        <v>0</v>
      </c>
      <c r="CN132" s="39"/>
      <c r="CO132" s="3"/>
      <c r="CP132" s="75">
        <f t="shared" si="220"/>
        <v>45.72644318963745</v>
      </c>
      <c r="CQ132" s="3"/>
      <c r="CR132" s="76">
        <f t="shared" si="221"/>
        <v>59.171115836556282</v>
      </c>
      <c r="CT132" s="76">
        <f t="shared" si="105"/>
        <v>739.68</v>
      </c>
    </row>
    <row r="133" spans="1:98" ht="15" customHeight="1" x14ac:dyDescent="0.2">
      <c r="A133" s="392"/>
      <c r="B133" s="423"/>
      <c r="C133" s="234" t="s">
        <v>234</v>
      </c>
      <c r="D133" s="242" t="s">
        <v>431</v>
      </c>
      <c r="E133" s="234" t="s">
        <v>19</v>
      </c>
      <c r="F133" s="301">
        <f>F1*(0.04*(1.014*1.012*1.015)*1.1/1.17)*1.028</f>
        <v>4.1212815622645331E-2</v>
      </c>
      <c r="H133" s="44"/>
      <c r="I133" s="26"/>
      <c r="J133" s="26"/>
      <c r="K133" s="45"/>
      <c r="L133" s="54"/>
      <c r="M133" s="74">
        <f t="shared" si="222"/>
        <v>0</v>
      </c>
      <c r="N133" s="198">
        <v>1</v>
      </c>
      <c r="O133" s="241">
        <f t="shared" si="223"/>
        <v>0</v>
      </c>
      <c r="P133" s="379"/>
      <c r="Q133" s="376"/>
      <c r="R133" s="376"/>
      <c r="S133" s="376"/>
      <c r="T133" s="376"/>
      <c r="U133" s="376"/>
      <c r="V133" s="373"/>
      <c r="W133" s="245">
        <f t="shared" si="211"/>
        <v>0</v>
      </c>
      <c r="Y133" s="44"/>
      <c r="Z133" s="26"/>
      <c r="AA133" s="26"/>
      <c r="AB133" s="45"/>
      <c r="AC133" s="54"/>
      <c r="AD133" s="74">
        <f t="shared" si="224"/>
        <v>0</v>
      </c>
      <c r="AE133" s="198">
        <v>1</v>
      </c>
      <c r="AF133" s="241">
        <f t="shared" si="225"/>
        <v>0</v>
      </c>
      <c r="AG133" s="379"/>
      <c r="AH133" s="376"/>
      <c r="AI133" s="376"/>
      <c r="AJ133" s="376"/>
      <c r="AK133" s="376"/>
      <c r="AL133" s="376"/>
      <c r="AM133" s="373"/>
      <c r="AN133" s="245">
        <f t="shared" si="213"/>
        <v>0</v>
      </c>
      <c r="AP133" s="44"/>
      <c r="AQ133" s="26"/>
      <c r="AR133" s="26"/>
      <c r="AS133" s="45"/>
      <c r="AT133" s="54"/>
      <c r="AU133" s="74">
        <f t="shared" si="226"/>
        <v>0</v>
      </c>
      <c r="AV133" s="198">
        <v>1</v>
      </c>
      <c r="AW133" s="241">
        <f t="shared" si="227"/>
        <v>0</v>
      </c>
      <c r="AX133" s="379"/>
      <c r="AY133" s="376"/>
      <c r="AZ133" s="376"/>
      <c r="BA133" s="376"/>
      <c r="BB133" s="376"/>
      <c r="BC133" s="376"/>
      <c r="BD133" s="373"/>
      <c r="BE133" s="245">
        <f t="shared" si="215"/>
        <v>0</v>
      </c>
      <c r="BG133" s="44"/>
      <c r="BH133" s="26"/>
      <c r="BI133" s="26"/>
      <c r="BJ133" s="45"/>
      <c r="BK133" s="54"/>
      <c r="BL133" s="74">
        <f t="shared" si="228"/>
        <v>0</v>
      </c>
      <c r="BM133" s="198">
        <v>1</v>
      </c>
      <c r="BN133" s="241">
        <f t="shared" si="229"/>
        <v>0</v>
      </c>
      <c r="BO133" s="379"/>
      <c r="BP133" s="376"/>
      <c r="BQ133" s="376"/>
      <c r="BR133" s="376"/>
      <c r="BS133" s="376"/>
      <c r="BT133" s="376"/>
      <c r="BU133" s="373"/>
      <c r="BV133" s="245">
        <f t="shared" si="217"/>
        <v>0</v>
      </c>
      <c r="BX133" s="44"/>
      <c r="BY133" s="26"/>
      <c r="BZ133" s="26"/>
      <c r="CA133" s="45"/>
      <c r="CB133" s="54"/>
      <c r="CC133" s="74">
        <f t="shared" si="230"/>
        <v>0</v>
      </c>
      <c r="CD133" s="198">
        <v>1</v>
      </c>
      <c r="CE133" s="241">
        <f t="shared" si="231"/>
        <v>0</v>
      </c>
      <c r="CF133" s="379"/>
      <c r="CG133" s="376"/>
      <c r="CH133" s="376"/>
      <c r="CI133" s="376"/>
      <c r="CJ133" s="376"/>
      <c r="CK133" s="376"/>
      <c r="CL133" s="373"/>
      <c r="CM133" s="245">
        <f t="shared" si="219"/>
        <v>0</v>
      </c>
      <c r="CN133" s="39"/>
      <c r="CO133" s="3"/>
      <c r="CP133" s="75">
        <f t="shared" si="220"/>
        <v>0</v>
      </c>
      <c r="CQ133" s="3"/>
      <c r="CR133" s="76">
        <f t="shared" si="221"/>
        <v>0</v>
      </c>
      <c r="CT133" s="76">
        <f t="shared" si="105"/>
        <v>0</v>
      </c>
    </row>
    <row r="134" spans="1:98" ht="15" customHeight="1" x14ac:dyDescent="0.2">
      <c r="A134" s="392"/>
      <c r="B134" s="423"/>
      <c r="C134" s="234" t="s">
        <v>235</v>
      </c>
      <c r="D134" s="242" t="s">
        <v>66</v>
      </c>
      <c r="E134" s="234" t="s">
        <v>19</v>
      </c>
      <c r="F134" s="301">
        <f>F1*(0.045*(1.014*1.012*1.015)*1.1/1.17)*1.028</f>
        <v>4.6364417575475998E-2</v>
      </c>
      <c r="H134" s="44"/>
      <c r="I134" s="26"/>
      <c r="J134" s="26"/>
      <c r="K134" s="45"/>
      <c r="L134" s="54"/>
      <c r="M134" s="74">
        <f t="shared" si="222"/>
        <v>0</v>
      </c>
      <c r="N134" s="198">
        <v>1</v>
      </c>
      <c r="O134" s="241">
        <f t="shared" si="223"/>
        <v>0</v>
      </c>
      <c r="P134" s="379"/>
      <c r="Q134" s="376"/>
      <c r="R134" s="376"/>
      <c r="S134" s="376"/>
      <c r="T134" s="376"/>
      <c r="U134" s="376"/>
      <c r="V134" s="373"/>
      <c r="W134" s="245">
        <f t="shared" si="211"/>
        <v>0</v>
      </c>
      <c r="Y134" s="44"/>
      <c r="Z134" s="26"/>
      <c r="AA134" s="26"/>
      <c r="AB134" s="45"/>
      <c r="AC134" s="54"/>
      <c r="AD134" s="74">
        <f t="shared" si="224"/>
        <v>0</v>
      </c>
      <c r="AE134" s="198">
        <v>1</v>
      </c>
      <c r="AF134" s="241">
        <f t="shared" si="225"/>
        <v>0</v>
      </c>
      <c r="AG134" s="379"/>
      <c r="AH134" s="376"/>
      <c r="AI134" s="376"/>
      <c r="AJ134" s="376"/>
      <c r="AK134" s="376"/>
      <c r="AL134" s="376"/>
      <c r="AM134" s="373"/>
      <c r="AN134" s="245">
        <f t="shared" si="213"/>
        <v>0</v>
      </c>
      <c r="AP134" s="44"/>
      <c r="AQ134" s="26"/>
      <c r="AR134" s="26"/>
      <c r="AS134" s="45"/>
      <c r="AT134" s="54"/>
      <c r="AU134" s="74">
        <f t="shared" si="226"/>
        <v>0</v>
      </c>
      <c r="AV134" s="198">
        <v>1</v>
      </c>
      <c r="AW134" s="241">
        <f t="shared" si="227"/>
        <v>0</v>
      </c>
      <c r="AX134" s="379"/>
      <c r="AY134" s="376"/>
      <c r="AZ134" s="376"/>
      <c r="BA134" s="376"/>
      <c r="BB134" s="376"/>
      <c r="BC134" s="376"/>
      <c r="BD134" s="373"/>
      <c r="BE134" s="245">
        <f t="shared" si="215"/>
        <v>0</v>
      </c>
      <c r="BG134" s="44"/>
      <c r="BH134" s="26"/>
      <c r="BI134" s="26"/>
      <c r="BJ134" s="45"/>
      <c r="BK134" s="54"/>
      <c r="BL134" s="74">
        <f t="shared" si="228"/>
        <v>0</v>
      </c>
      <c r="BM134" s="198">
        <v>1</v>
      </c>
      <c r="BN134" s="241">
        <f t="shared" si="229"/>
        <v>0</v>
      </c>
      <c r="BO134" s="379"/>
      <c r="BP134" s="376"/>
      <c r="BQ134" s="376"/>
      <c r="BR134" s="376"/>
      <c r="BS134" s="376"/>
      <c r="BT134" s="376"/>
      <c r="BU134" s="373"/>
      <c r="BV134" s="245">
        <f t="shared" si="217"/>
        <v>0</v>
      </c>
      <c r="BX134" s="44"/>
      <c r="BY134" s="26"/>
      <c r="BZ134" s="26"/>
      <c r="CA134" s="45"/>
      <c r="CB134" s="54"/>
      <c r="CC134" s="74">
        <f t="shared" si="230"/>
        <v>0</v>
      </c>
      <c r="CD134" s="198">
        <v>1</v>
      </c>
      <c r="CE134" s="241">
        <f t="shared" si="231"/>
        <v>0</v>
      </c>
      <c r="CF134" s="379"/>
      <c r="CG134" s="376"/>
      <c r="CH134" s="376"/>
      <c r="CI134" s="376"/>
      <c r="CJ134" s="376"/>
      <c r="CK134" s="376"/>
      <c r="CL134" s="373"/>
      <c r="CM134" s="245">
        <f t="shared" si="219"/>
        <v>0</v>
      </c>
      <c r="CN134" s="39"/>
      <c r="CO134" s="3"/>
      <c r="CP134" s="75">
        <f t="shared" si="220"/>
        <v>0</v>
      </c>
      <c r="CQ134" s="3"/>
      <c r="CR134" s="76">
        <f t="shared" si="221"/>
        <v>0</v>
      </c>
      <c r="CT134" s="76">
        <f t="shared" si="105"/>
        <v>0</v>
      </c>
    </row>
    <row r="135" spans="1:98" ht="15" customHeight="1" x14ac:dyDescent="0.2">
      <c r="A135" s="392"/>
      <c r="B135" s="423"/>
      <c r="C135" s="234" t="s">
        <v>236</v>
      </c>
      <c r="D135" s="242" t="s">
        <v>430</v>
      </c>
      <c r="E135" s="234" t="s">
        <v>19</v>
      </c>
      <c r="F135" s="301">
        <f>F1*(0.02*(1.014*1.012*1.015)*1.1/1.17)*1.028</f>
        <v>2.0606407811322665E-2</v>
      </c>
      <c r="H135" s="43"/>
      <c r="I135" s="23"/>
      <c r="J135" s="23"/>
      <c r="K135" s="24"/>
      <c r="L135" s="25"/>
      <c r="M135" s="74">
        <f t="shared" ref="M135" si="232">SUM(H135:L135)</f>
        <v>0</v>
      </c>
      <c r="N135" s="198">
        <v>1</v>
      </c>
      <c r="O135" s="241">
        <f t="shared" si="223"/>
        <v>0</v>
      </c>
      <c r="P135" s="379"/>
      <c r="Q135" s="376"/>
      <c r="R135" s="376"/>
      <c r="S135" s="376"/>
      <c r="T135" s="376"/>
      <c r="U135" s="376"/>
      <c r="V135" s="373"/>
      <c r="W135" s="245">
        <f t="shared" si="211"/>
        <v>0</v>
      </c>
      <c r="Y135" s="43"/>
      <c r="Z135" s="23"/>
      <c r="AA135" s="23"/>
      <c r="AB135" s="24"/>
      <c r="AC135" s="25"/>
      <c r="AD135" s="74">
        <f t="shared" si="224"/>
        <v>0</v>
      </c>
      <c r="AE135" s="198">
        <v>1</v>
      </c>
      <c r="AF135" s="241">
        <f t="shared" si="225"/>
        <v>0</v>
      </c>
      <c r="AG135" s="379"/>
      <c r="AH135" s="376"/>
      <c r="AI135" s="376"/>
      <c r="AJ135" s="376"/>
      <c r="AK135" s="376"/>
      <c r="AL135" s="376"/>
      <c r="AM135" s="373"/>
      <c r="AN135" s="245">
        <f t="shared" si="213"/>
        <v>0</v>
      </c>
      <c r="AP135" s="43"/>
      <c r="AQ135" s="23"/>
      <c r="AR135" s="23"/>
      <c r="AS135" s="24"/>
      <c r="AT135" s="25"/>
      <c r="AU135" s="74">
        <f t="shared" si="226"/>
        <v>0</v>
      </c>
      <c r="AV135" s="198">
        <v>1</v>
      </c>
      <c r="AW135" s="241">
        <f t="shared" si="227"/>
        <v>0</v>
      </c>
      <c r="AX135" s="379"/>
      <c r="AY135" s="376"/>
      <c r="AZ135" s="376"/>
      <c r="BA135" s="376"/>
      <c r="BB135" s="376"/>
      <c r="BC135" s="376"/>
      <c r="BD135" s="373"/>
      <c r="BE135" s="245">
        <f t="shared" si="215"/>
        <v>0</v>
      </c>
      <c r="BG135" s="43"/>
      <c r="BH135" s="23"/>
      <c r="BI135" s="23"/>
      <c r="BJ135" s="24"/>
      <c r="BK135" s="25"/>
      <c r="BL135" s="74">
        <f t="shared" si="228"/>
        <v>0</v>
      </c>
      <c r="BM135" s="198">
        <v>1</v>
      </c>
      <c r="BN135" s="241">
        <f t="shared" si="229"/>
        <v>0</v>
      </c>
      <c r="BO135" s="379"/>
      <c r="BP135" s="376"/>
      <c r="BQ135" s="376"/>
      <c r="BR135" s="376"/>
      <c r="BS135" s="376"/>
      <c r="BT135" s="376"/>
      <c r="BU135" s="373"/>
      <c r="BV135" s="245">
        <f t="shared" si="217"/>
        <v>0</v>
      </c>
      <c r="BX135" s="43"/>
      <c r="BY135" s="23"/>
      <c r="BZ135" s="23"/>
      <c r="CA135" s="24"/>
      <c r="CB135" s="25"/>
      <c r="CC135" s="74">
        <f t="shared" si="230"/>
        <v>0</v>
      </c>
      <c r="CD135" s="198">
        <v>1</v>
      </c>
      <c r="CE135" s="241">
        <f t="shared" si="231"/>
        <v>0</v>
      </c>
      <c r="CF135" s="379"/>
      <c r="CG135" s="376"/>
      <c r="CH135" s="376"/>
      <c r="CI135" s="376"/>
      <c r="CJ135" s="376"/>
      <c r="CK135" s="376"/>
      <c r="CL135" s="373"/>
      <c r="CM135" s="245">
        <f t="shared" si="219"/>
        <v>0</v>
      </c>
      <c r="CN135" s="39"/>
      <c r="CO135" s="3"/>
      <c r="CP135" s="75">
        <f t="shared" si="220"/>
        <v>0</v>
      </c>
      <c r="CQ135" s="3"/>
      <c r="CR135" s="76">
        <f t="shared" si="221"/>
        <v>0</v>
      </c>
      <c r="CT135" s="76">
        <f t="shared" si="105"/>
        <v>0</v>
      </c>
    </row>
    <row r="136" spans="1:98" ht="15" customHeight="1" x14ac:dyDescent="0.2">
      <c r="A136" s="392"/>
      <c r="B136" s="424"/>
      <c r="C136" s="234" t="s">
        <v>237</v>
      </c>
      <c r="D136" s="242" t="s">
        <v>67</v>
      </c>
      <c r="E136" s="234" t="s">
        <v>19</v>
      </c>
      <c r="F136" s="301">
        <f>F1*(0.025*(1.014*1.012*1.015)*1.1/1.17)*1.028</f>
        <v>2.5758009764153336E-2</v>
      </c>
      <c r="H136" s="44"/>
      <c r="I136" s="26"/>
      <c r="J136" s="26"/>
      <c r="K136" s="45"/>
      <c r="L136" s="54"/>
      <c r="M136" s="74">
        <f t="shared" si="222"/>
        <v>0</v>
      </c>
      <c r="N136" s="198">
        <v>1</v>
      </c>
      <c r="O136" s="241">
        <f t="shared" si="223"/>
        <v>0</v>
      </c>
      <c r="P136" s="379"/>
      <c r="Q136" s="376"/>
      <c r="R136" s="376"/>
      <c r="S136" s="376"/>
      <c r="T136" s="376"/>
      <c r="U136" s="376"/>
      <c r="V136" s="373"/>
      <c r="W136" s="245">
        <f t="shared" si="211"/>
        <v>0</v>
      </c>
      <c r="Y136" s="44"/>
      <c r="Z136" s="26"/>
      <c r="AA136" s="26"/>
      <c r="AB136" s="45"/>
      <c r="AC136" s="54"/>
      <c r="AD136" s="74">
        <f t="shared" si="224"/>
        <v>0</v>
      </c>
      <c r="AE136" s="198">
        <v>1</v>
      </c>
      <c r="AF136" s="241">
        <f t="shared" si="225"/>
        <v>0</v>
      </c>
      <c r="AG136" s="379"/>
      <c r="AH136" s="376"/>
      <c r="AI136" s="376"/>
      <c r="AJ136" s="376"/>
      <c r="AK136" s="376"/>
      <c r="AL136" s="376"/>
      <c r="AM136" s="373"/>
      <c r="AN136" s="245">
        <f t="shared" si="213"/>
        <v>0</v>
      </c>
      <c r="AP136" s="44"/>
      <c r="AQ136" s="26"/>
      <c r="AR136" s="26"/>
      <c r="AS136" s="45"/>
      <c r="AT136" s="54"/>
      <c r="AU136" s="74">
        <f t="shared" si="226"/>
        <v>0</v>
      </c>
      <c r="AV136" s="198">
        <v>1</v>
      </c>
      <c r="AW136" s="241">
        <f t="shared" si="227"/>
        <v>0</v>
      </c>
      <c r="AX136" s="379"/>
      <c r="AY136" s="376"/>
      <c r="AZ136" s="376"/>
      <c r="BA136" s="376"/>
      <c r="BB136" s="376"/>
      <c r="BC136" s="376"/>
      <c r="BD136" s="373"/>
      <c r="BE136" s="245">
        <f t="shared" si="215"/>
        <v>0</v>
      </c>
      <c r="BG136" s="44"/>
      <c r="BH136" s="26"/>
      <c r="BI136" s="26"/>
      <c r="BJ136" s="45"/>
      <c r="BK136" s="54"/>
      <c r="BL136" s="74">
        <f t="shared" si="228"/>
        <v>0</v>
      </c>
      <c r="BM136" s="198">
        <v>1</v>
      </c>
      <c r="BN136" s="241">
        <f t="shared" si="229"/>
        <v>0</v>
      </c>
      <c r="BO136" s="379"/>
      <c r="BP136" s="376"/>
      <c r="BQ136" s="376"/>
      <c r="BR136" s="376"/>
      <c r="BS136" s="376"/>
      <c r="BT136" s="376"/>
      <c r="BU136" s="373"/>
      <c r="BV136" s="245">
        <f t="shared" si="217"/>
        <v>0</v>
      </c>
      <c r="BX136" s="44"/>
      <c r="BY136" s="26"/>
      <c r="BZ136" s="26"/>
      <c r="CA136" s="45"/>
      <c r="CB136" s="54"/>
      <c r="CC136" s="74">
        <f t="shared" si="230"/>
        <v>0</v>
      </c>
      <c r="CD136" s="198">
        <v>1</v>
      </c>
      <c r="CE136" s="241">
        <f t="shared" si="231"/>
        <v>0</v>
      </c>
      <c r="CF136" s="379"/>
      <c r="CG136" s="376"/>
      <c r="CH136" s="376"/>
      <c r="CI136" s="376"/>
      <c r="CJ136" s="376"/>
      <c r="CK136" s="376"/>
      <c r="CL136" s="373"/>
      <c r="CM136" s="245">
        <f t="shared" si="219"/>
        <v>0</v>
      </c>
      <c r="CN136" s="39"/>
      <c r="CO136" s="3"/>
      <c r="CP136" s="75">
        <f t="shared" si="220"/>
        <v>0</v>
      </c>
      <c r="CQ136" s="3"/>
      <c r="CR136" s="76">
        <f t="shared" si="221"/>
        <v>0</v>
      </c>
      <c r="CT136" s="76">
        <f t="shared" ref="CT136:CT198" si="233">SUMIF(H$1:CM$1,3,H136:CM136)</f>
        <v>0</v>
      </c>
    </row>
    <row r="137" spans="1:98" ht="15" customHeight="1" x14ac:dyDescent="0.2">
      <c r="A137" s="392"/>
      <c r="B137" s="425" t="s">
        <v>159</v>
      </c>
      <c r="C137" s="234" t="s">
        <v>238</v>
      </c>
      <c r="D137" s="242" t="s">
        <v>68</v>
      </c>
      <c r="E137" s="234" t="s">
        <v>19</v>
      </c>
      <c r="F137" s="301">
        <f>F1*(0.07*(1.014*1.012*1.015)*1.1/1.17)*1.028</f>
        <v>7.2122427339629355E-2</v>
      </c>
      <c r="H137" s="44"/>
      <c r="I137" s="26"/>
      <c r="J137" s="26"/>
      <c r="K137" s="45"/>
      <c r="L137" s="54"/>
      <c r="M137" s="74">
        <f t="shared" si="222"/>
        <v>0</v>
      </c>
      <c r="N137" s="198">
        <v>1</v>
      </c>
      <c r="O137" s="241">
        <f t="shared" si="223"/>
        <v>0</v>
      </c>
      <c r="P137" s="379"/>
      <c r="Q137" s="376"/>
      <c r="R137" s="376"/>
      <c r="S137" s="376"/>
      <c r="T137" s="376"/>
      <c r="U137" s="376"/>
      <c r="V137" s="373"/>
      <c r="W137" s="245">
        <f t="shared" si="211"/>
        <v>0</v>
      </c>
      <c r="Y137" s="44"/>
      <c r="Z137" s="26"/>
      <c r="AA137" s="26"/>
      <c r="AB137" s="45"/>
      <c r="AC137" s="54"/>
      <c r="AD137" s="74">
        <f t="shared" si="224"/>
        <v>0</v>
      </c>
      <c r="AE137" s="198">
        <v>1</v>
      </c>
      <c r="AF137" s="241">
        <f t="shared" si="225"/>
        <v>0</v>
      </c>
      <c r="AG137" s="379"/>
      <c r="AH137" s="376"/>
      <c r="AI137" s="376"/>
      <c r="AJ137" s="376"/>
      <c r="AK137" s="376"/>
      <c r="AL137" s="376"/>
      <c r="AM137" s="373"/>
      <c r="AN137" s="245">
        <f t="shared" si="213"/>
        <v>0</v>
      </c>
      <c r="AP137" s="44"/>
      <c r="AQ137" s="26"/>
      <c r="AR137" s="26"/>
      <c r="AS137" s="45"/>
      <c r="AT137" s="54"/>
      <c r="AU137" s="74">
        <f t="shared" si="226"/>
        <v>0</v>
      </c>
      <c r="AV137" s="198">
        <v>1</v>
      </c>
      <c r="AW137" s="241">
        <f t="shared" si="227"/>
        <v>0</v>
      </c>
      <c r="AX137" s="379"/>
      <c r="AY137" s="376"/>
      <c r="AZ137" s="376"/>
      <c r="BA137" s="376"/>
      <c r="BB137" s="376"/>
      <c r="BC137" s="376"/>
      <c r="BD137" s="373"/>
      <c r="BE137" s="245">
        <f t="shared" si="215"/>
        <v>0</v>
      </c>
      <c r="BG137" s="44"/>
      <c r="BH137" s="26"/>
      <c r="BI137" s="26"/>
      <c r="BJ137" s="45"/>
      <c r="BK137" s="54"/>
      <c r="BL137" s="74">
        <f t="shared" si="228"/>
        <v>0</v>
      </c>
      <c r="BM137" s="198">
        <v>1</v>
      </c>
      <c r="BN137" s="241">
        <f t="shared" si="229"/>
        <v>0</v>
      </c>
      <c r="BO137" s="379"/>
      <c r="BP137" s="376"/>
      <c r="BQ137" s="376"/>
      <c r="BR137" s="376"/>
      <c r="BS137" s="376"/>
      <c r="BT137" s="376"/>
      <c r="BU137" s="373"/>
      <c r="BV137" s="245">
        <f t="shared" si="217"/>
        <v>0</v>
      </c>
      <c r="BX137" s="44"/>
      <c r="BY137" s="26"/>
      <c r="BZ137" s="26"/>
      <c r="CA137" s="45"/>
      <c r="CB137" s="54"/>
      <c r="CC137" s="74">
        <f t="shared" si="230"/>
        <v>0</v>
      </c>
      <c r="CD137" s="198">
        <v>1</v>
      </c>
      <c r="CE137" s="241">
        <f t="shared" si="231"/>
        <v>0</v>
      </c>
      <c r="CF137" s="379"/>
      <c r="CG137" s="376"/>
      <c r="CH137" s="376"/>
      <c r="CI137" s="376"/>
      <c r="CJ137" s="376"/>
      <c r="CK137" s="376"/>
      <c r="CL137" s="373"/>
      <c r="CM137" s="245">
        <f t="shared" si="219"/>
        <v>0</v>
      </c>
      <c r="CN137" s="39"/>
      <c r="CO137" s="3"/>
      <c r="CP137" s="75">
        <f t="shared" si="220"/>
        <v>0</v>
      </c>
      <c r="CQ137" s="3"/>
      <c r="CR137" s="76">
        <f t="shared" si="221"/>
        <v>0</v>
      </c>
      <c r="CT137" s="76">
        <f t="shared" si="233"/>
        <v>0</v>
      </c>
    </row>
    <row r="138" spans="1:98" ht="15" customHeight="1" x14ac:dyDescent="0.2">
      <c r="A138" s="392"/>
      <c r="B138" s="423"/>
      <c r="C138" s="234" t="s">
        <v>239</v>
      </c>
      <c r="D138" s="242" t="s">
        <v>69</v>
      </c>
      <c r="E138" s="234" t="s">
        <v>19</v>
      </c>
      <c r="F138" s="301">
        <f>F1*(0.045*(1.014*1.012*1.015)*1.1/1.17)*1.028</f>
        <v>4.6364417575475998E-2</v>
      </c>
      <c r="H138" s="43"/>
      <c r="I138" s="23"/>
      <c r="J138" s="23"/>
      <c r="K138" s="24"/>
      <c r="L138" s="25"/>
      <c r="M138" s="74">
        <f t="shared" ref="M138" si="234">SUM(H138:L138)</f>
        <v>0</v>
      </c>
      <c r="N138" s="198">
        <v>1</v>
      </c>
      <c r="O138" s="241">
        <f t="shared" si="223"/>
        <v>0</v>
      </c>
      <c r="P138" s="379"/>
      <c r="Q138" s="376"/>
      <c r="R138" s="376"/>
      <c r="S138" s="376"/>
      <c r="T138" s="376"/>
      <c r="U138" s="376"/>
      <c r="V138" s="373"/>
      <c r="W138" s="245">
        <f t="shared" si="211"/>
        <v>0</v>
      </c>
      <c r="Y138" s="43"/>
      <c r="Z138" s="23"/>
      <c r="AA138" s="23"/>
      <c r="AB138" s="24"/>
      <c r="AC138" s="25"/>
      <c r="AD138" s="74">
        <f t="shared" si="224"/>
        <v>0</v>
      </c>
      <c r="AE138" s="198">
        <v>1</v>
      </c>
      <c r="AF138" s="241">
        <f t="shared" si="225"/>
        <v>0</v>
      </c>
      <c r="AG138" s="379"/>
      <c r="AH138" s="376"/>
      <c r="AI138" s="376"/>
      <c r="AJ138" s="376"/>
      <c r="AK138" s="376"/>
      <c r="AL138" s="376"/>
      <c r="AM138" s="373"/>
      <c r="AN138" s="245">
        <f t="shared" si="213"/>
        <v>0</v>
      </c>
      <c r="AP138" s="43"/>
      <c r="AQ138" s="23"/>
      <c r="AR138" s="23"/>
      <c r="AS138" s="24"/>
      <c r="AT138" s="25"/>
      <c r="AU138" s="74">
        <f t="shared" si="226"/>
        <v>0</v>
      </c>
      <c r="AV138" s="198">
        <v>1</v>
      </c>
      <c r="AW138" s="241">
        <f t="shared" si="227"/>
        <v>0</v>
      </c>
      <c r="AX138" s="379"/>
      <c r="AY138" s="376"/>
      <c r="AZ138" s="376"/>
      <c r="BA138" s="376"/>
      <c r="BB138" s="376"/>
      <c r="BC138" s="376"/>
      <c r="BD138" s="373"/>
      <c r="BE138" s="245">
        <f t="shared" si="215"/>
        <v>0</v>
      </c>
      <c r="BG138" s="43"/>
      <c r="BH138" s="23"/>
      <c r="BI138" s="23"/>
      <c r="BJ138" s="24"/>
      <c r="BK138" s="25"/>
      <c r="BL138" s="74">
        <f t="shared" si="228"/>
        <v>0</v>
      </c>
      <c r="BM138" s="198">
        <v>1</v>
      </c>
      <c r="BN138" s="241">
        <f t="shared" si="229"/>
        <v>0</v>
      </c>
      <c r="BO138" s="379"/>
      <c r="BP138" s="376"/>
      <c r="BQ138" s="376"/>
      <c r="BR138" s="376"/>
      <c r="BS138" s="376"/>
      <c r="BT138" s="376"/>
      <c r="BU138" s="373"/>
      <c r="BV138" s="245">
        <f t="shared" si="217"/>
        <v>0</v>
      </c>
      <c r="BX138" s="43"/>
      <c r="BY138" s="23"/>
      <c r="BZ138" s="23"/>
      <c r="CA138" s="24"/>
      <c r="CB138" s="25"/>
      <c r="CC138" s="74">
        <f t="shared" si="230"/>
        <v>0</v>
      </c>
      <c r="CD138" s="198">
        <v>1</v>
      </c>
      <c r="CE138" s="241">
        <f t="shared" si="231"/>
        <v>0</v>
      </c>
      <c r="CF138" s="379"/>
      <c r="CG138" s="376"/>
      <c r="CH138" s="376"/>
      <c r="CI138" s="376"/>
      <c r="CJ138" s="376"/>
      <c r="CK138" s="376"/>
      <c r="CL138" s="373"/>
      <c r="CM138" s="245">
        <f t="shared" si="219"/>
        <v>0</v>
      </c>
      <c r="CN138" s="39"/>
      <c r="CO138" s="3"/>
      <c r="CP138" s="75">
        <f t="shared" si="220"/>
        <v>0</v>
      </c>
      <c r="CQ138" s="3"/>
      <c r="CR138" s="76">
        <f t="shared" si="221"/>
        <v>0</v>
      </c>
      <c r="CT138" s="76">
        <f t="shared" si="233"/>
        <v>0</v>
      </c>
    </row>
    <row r="139" spans="1:98" ht="15" customHeight="1" x14ac:dyDescent="0.2">
      <c r="A139" s="392"/>
      <c r="B139" s="424"/>
      <c r="C139" s="234" t="s">
        <v>240</v>
      </c>
      <c r="D139" s="242" t="s">
        <v>437</v>
      </c>
      <c r="E139" s="234" t="s">
        <v>19</v>
      </c>
      <c r="F139" s="301">
        <f>F1*(0.005*(1.014*1.012*1.015)*1.1/1.17)*1.028</f>
        <v>5.1516019528306664E-3</v>
      </c>
      <c r="H139" s="44"/>
      <c r="I139" s="26"/>
      <c r="J139" s="26"/>
      <c r="K139" s="45"/>
      <c r="L139" s="54"/>
      <c r="M139" s="74">
        <f t="shared" si="222"/>
        <v>0</v>
      </c>
      <c r="N139" s="198">
        <v>1</v>
      </c>
      <c r="O139" s="241">
        <f t="shared" si="223"/>
        <v>0</v>
      </c>
      <c r="P139" s="379"/>
      <c r="Q139" s="376"/>
      <c r="R139" s="376"/>
      <c r="S139" s="376"/>
      <c r="T139" s="376"/>
      <c r="U139" s="376"/>
      <c r="V139" s="373"/>
      <c r="W139" s="245">
        <f t="shared" si="211"/>
        <v>0</v>
      </c>
      <c r="Y139" s="44"/>
      <c r="Z139" s="26"/>
      <c r="AA139" s="26"/>
      <c r="AB139" s="45"/>
      <c r="AC139" s="54"/>
      <c r="AD139" s="74">
        <f t="shared" si="224"/>
        <v>0</v>
      </c>
      <c r="AE139" s="198">
        <v>1</v>
      </c>
      <c r="AF139" s="241">
        <f t="shared" si="225"/>
        <v>0</v>
      </c>
      <c r="AG139" s="379"/>
      <c r="AH139" s="376"/>
      <c r="AI139" s="376"/>
      <c r="AJ139" s="376"/>
      <c r="AK139" s="376"/>
      <c r="AL139" s="376"/>
      <c r="AM139" s="373"/>
      <c r="AN139" s="245">
        <f t="shared" si="213"/>
        <v>0</v>
      </c>
      <c r="AP139" s="44"/>
      <c r="AQ139" s="26"/>
      <c r="AR139" s="26"/>
      <c r="AS139" s="45"/>
      <c r="AT139" s="54"/>
      <c r="AU139" s="74">
        <f t="shared" si="226"/>
        <v>0</v>
      </c>
      <c r="AV139" s="198">
        <v>1</v>
      </c>
      <c r="AW139" s="241">
        <f t="shared" si="227"/>
        <v>0</v>
      </c>
      <c r="AX139" s="379"/>
      <c r="AY139" s="376"/>
      <c r="AZ139" s="376"/>
      <c r="BA139" s="376"/>
      <c r="BB139" s="376"/>
      <c r="BC139" s="376"/>
      <c r="BD139" s="373"/>
      <c r="BE139" s="245">
        <f t="shared" si="215"/>
        <v>0</v>
      </c>
      <c r="BG139" s="44"/>
      <c r="BH139" s="26"/>
      <c r="BI139" s="26"/>
      <c r="BJ139" s="45"/>
      <c r="BK139" s="54"/>
      <c r="BL139" s="74">
        <f t="shared" si="228"/>
        <v>0</v>
      </c>
      <c r="BM139" s="198">
        <v>1</v>
      </c>
      <c r="BN139" s="241">
        <f t="shared" si="229"/>
        <v>0</v>
      </c>
      <c r="BO139" s="379"/>
      <c r="BP139" s="376"/>
      <c r="BQ139" s="376"/>
      <c r="BR139" s="376"/>
      <c r="BS139" s="376"/>
      <c r="BT139" s="376"/>
      <c r="BU139" s="373"/>
      <c r="BV139" s="245">
        <f t="shared" si="217"/>
        <v>0</v>
      </c>
      <c r="BX139" s="44"/>
      <c r="BY139" s="26"/>
      <c r="BZ139" s="26"/>
      <c r="CA139" s="45"/>
      <c r="CB139" s="54"/>
      <c r="CC139" s="74">
        <f t="shared" si="230"/>
        <v>0</v>
      </c>
      <c r="CD139" s="198">
        <v>1</v>
      </c>
      <c r="CE139" s="241">
        <f t="shared" si="231"/>
        <v>0</v>
      </c>
      <c r="CF139" s="379"/>
      <c r="CG139" s="376"/>
      <c r="CH139" s="376"/>
      <c r="CI139" s="376"/>
      <c r="CJ139" s="376"/>
      <c r="CK139" s="376"/>
      <c r="CL139" s="373"/>
      <c r="CM139" s="245">
        <f t="shared" si="219"/>
        <v>0</v>
      </c>
      <c r="CN139" s="39"/>
      <c r="CO139" s="3"/>
      <c r="CP139" s="75">
        <f t="shared" si="220"/>
        <v>0</v>
      </c>
      <c r="CQ139" s="3"/>
      <c r="CR139" s="76">
        <f t="shared" si="221"/>
        <v>0</v>
      </c>
      <c r="CT139" s="76">
        <f t="shared" si="233"/>
        <v>0</v>
      </c>
    </row>
    <row r="140" spans="1:98" ht="15" customHeight="1" x14ac:dyDescent="0.2">
      <c r="A140" s="392"/>
      <c r="B140" s="425" t="s">
        <v>160</v>
      </c>
      <c r="C140" s="234" t="s">
        <v>241</v>
      </c>
      <c r="D140" s="242" t="s">
        <v>70</v>
      </c>
      <c r="E140" s="234" t="s">
        <v>19</v>
      </c>
      <c r="F140" s="301">
        <f>F1*(0.115*(1.014*1.012*1.015)*1.1/1.17)*1.028</f>
        <v>0.11848684491510533</v>
      </c>
      <c r="H140" s="44"/>
      <c r="I140" s="26"/>
      <c r="J140" s="26"/>
      <c r="K140" s="45"/>
      <c r="L140" s="54"/>
      <c r="M140" s="74">
        <f t="shared" si="222"/>
        <v>0</v>
      </c>
      <c r="N140" s="198">
        <v>1</v>
      </c>
      <c r="O140" s="241">
        <f t="shared" si="223"/>
        <v>0</v>
      </c>
      <c r="P140" s="379"/>
      <c r="Q140" s="376"/>
      <c r="R140" s="376"/>
      <c r="S140" s="376"/>
      <c r="T140" s="376"/>
      <c r="U140" s="376"/>
      <c r="V140" s="373"/>
      <c r="W140" s="245">
        <f t="shared" si="211"/>
        <v>0</v>
      </c>
      <c r="Y140" s="44"/>
      <c r="Z140" s="26"/>
      <c r="AA140" s="26"/>
      <c r="AB140" s="45"/>
      <c r="AC140" s="54"/>
      <c r="AD140" s="74">
        <f t="shared" si="224"/>
        <v>0</v>
      </c>
      <c r="AE140" s="198">
        <v>1</v>
      </c>
      <c r="AF140" s="241">
        <f t="shared" si="225"/>
        <v>0</v>
      </c>
      <c r="AG140" s="379"/>
      <c r="AH140" s="376"/>
      <c r="AI140" s="376"/>
      <c r="AJ140" s="376"/>
      <c r="AK140" s="376"/>
      <c r="AL140" s="376"/>
      <c r="AM140" s="373"/>
      <c r="AN140" s="245">
        <f t="shared" si="213"/>
        <v>0</v>
      </c>
      <c r="AP140" s="44"/>
      <c r="AQ140" s="26"/>
      <c r="AR140" s="26"/>
      <c r="AS140" s="45"/>
      <c r="AT140" s="54"/>
      <c r="AU140" s="74">
        <f t="shared" si="226"/>
        <v>0</v>
      </c>
      <c r="AV140" s="198">
        <v>1</v>
      </c>
      <c r="AW140" s="241">
        <f t="shared" si="227"/>
        <v>0</v>
      </c>
      <c r="AX140" s="379"/>
      <c r="AY140" s="376"/>
      <c r="AZ140" s="376"/>
      <c r="BA140" s="376"/>
      <c r="BB140" s="376"/>
      <c r="BC140" s="376"/>
      <c r="BD140" s="373"/>
      <c r="BE140" s="245">
        <f t="shared" si="215"/>
        <v>0</v>
      </c>
      <c r="BG140" s="44"/>
      <c r="BH140" s="26"/>
      <c r="BI140" s="26"/>
      <c r="BJ140" s="45"/>
      <c r="BK140" s="54"/>
      <c r="BL140" s="74">
        <f t="shared" si="228"/>
        <v>0</v>
      </c>
      <c r="BM140" s="198">
        <v>1</v>
      </c>
      <c r="BN140" s="241">
        <f t="shared" si="229"/>
        <v>0</v>
      </c>
      <c r="BO140" s="379"/>
      <c r="BP140" s="376"/>
      <c r="BQ140" s="376"/>
      <c r="BR140" s="376"/>
      <c r="BS140" s="376"/>
      <c r="BT140" s="376"/>
      <c r="BU140" s="373"/>
      <c r="BV140" s="245">
        <f t="shared" si="217"/>
        <v>0</v>
      </c>
      <c r="BX140" s="44"/>
      <c r="BY140" s="26"/>
      <c r="BZ140" s="26"/>
      <c r="CA140" s="45"/>
      <c r="CB140" s="54"/>
      <c r="CC140" s="74">
        <f t="shared" si="230"/>
        <v>0</v>
      </c>
      <c r="CD140" s="198">
        <v>1</v>
      </c>
      <c r="CE140" s="241">
        <f t="shared" si="231"/>
        <v>0</v>
      </c>
      <c r="CF140" s="379"/>
      <c r="CG140" s="376"/>
      <c r="CH140" s="376"/>
      <c r="CI140" s="376"/>
      <c r="CJ140" s="376"/>
      <c r="CK140" s="376"/>
      <c r="CL140" s="373"/>
      <c r="CM140" s="245">
        <f t="shared" si="219"/>
        <v>0</v>
      </c>
      <c r="CN140" s="39"/>
      <c r="CO140" s="3"/>
      <c r="CP140" s="75">
        <f t="shared" si="220"/>
        <v>0</v>
      </c>
      <c r="CQ140" s="3"/>
      <c r="CR140" s="76">
        <f t="shared" si="221"/>
        <v>0</v>
      </c>
      <c r="CT140" s="76">
        <f t="shared" si="233"/>
        <v>0</v>
      </c>
    </row>
    <row r="141" spans="1:98" ht="15" customHeight="1" x14ac:dyDescent="0.2">
      <c r="A141" s="392"/>
      <c r="B141" s="423"/>
      <c r="C141" s="234" t="s">
        <v>482</v>
      </c>
      <c r="D141" s="242" t="s">
        <v>540</v>
      </c>
      <c r="E141" s="234" t="s">
        <v>19</v>
      </c>
      <c r="F141" s="301">
        <f>F1*(0.003*(1.014*1.012*1.015)*1.1/1.17)*1.028</f>
        <v>3.0909611716984E-3</v>
      </c>
      <c r="H141" s="43"/>
      <c r="I141" s="23"/>
      <c r="J141" s="23"/>
      <c r="K141" s="24"/>
      <c r="L141" s="25"/>
      <c r="M141" s="74">
        <f t="shared" ref="M141:M143" si="235">SUM(H141:L141)</f>
        <v>0</v>
      </c>
      <c r="N141" s="198">
        <v>1</v>
      </c>
      <c r="O141" s="241">
        <f t="shared" si="223"/>
        <v>0</v>
      </c>
      <c r="P141" s="379"/>
      <c r="Q141" s="376"/>
      <c r="R141" s="376"/>
      <c r="S141" s="376"/>
      <c r="T141" s="376"/>
      <c r="U141" s="376"/>
      <c r="V141" s="373"/>
      <c r="W141" s="245">
        <f t="shared" si="211"/>
        <v>0</v>
      </c>
      <c r="Y141" s="43"/>
      <c r="Z141" s="23"/>
      <c r="AA141" s="23"/>
      <c r="AB141" s="24"/>
      <c r="AC141" s="25"/>
      <c r="AD141" s="74">
        <f t="shared" si="224"/>
        <v>0</v>
      </c>
      <c r="AE141" s="198">
        <v>1</v>
      </c>
      <c r="AF141" s="241">
        <f t="shared" si="225"/>
        <v>0</v>
      </c>
      <c r="AG141" s="379"/>
      <c r="AH141" s="376"/>
      <c r="AI141" s="376"/>
      <c r="AJ141" s="376"/>
      <c r="AK141" s="376"/>
      <c r="AL141" s="376"/>
      <c r="AM141" s="373"/>
      <c r="AN141" s="245">
        <f t="shared" si="213"/>
        <v>0</v>
      </c>
      <c r="AP141" s="43"/>
      <c r="AQ141" s="23"/>
      <c r="AR141" s="23"/>
      <c r="AS141" s="24"/>
      <c r="AT141" s="25"/>
      <c r="AU141" s="74">
        <f t="shared" si="226"/>
        <v>0</v>
      </c>
      <c r="AV141" s="198">
        <v>1</v>
      </c>
      <c r="AW141" s="241">
        <f t="shared" si="227"/>
        <v>0</v>
      </c>
      <c r="AX141" s="379"/>
      <c r="AY141" s="376"/>
      <c r="AZ141" s="376"/>
      <c r="BA141" s="376"/>
      <c r="BB141" s="376"/>
      <c r="BC141" s="376"/>
      <c r="BD141" s="373"/>
      <c r="BE141" s="245">
        <f t="shared" si="215"/>
        <v>0</v>
      </c>
      <c r="BG141" s="43"/>
      <c r="BH141" s="23"/>
      <c r="BI141" s="23"/>
      <c r="BJ141" s="24"/>
      <c r="BK141" s="25"/>
      <c r="BL141" s="74">
        <f t="shared" si="228"/>
        <v>0</v>
      </c>
      <c r="BM141" s="198">
        <v>1</v>
      </c>
      <c r="BN141" s="241">
        <f t="shared" si="229"/>
        <v>0</v>
      </c>
      <c r="BO141" s="379"/>
      <c r="BP141" s="376"/>
      <c r="BQ141" s="376"/>
      <c r="BR141" s="376"/>
      <c r="BS141" s="376"/>
      <c r="BT141" s="376"/>
      <c r="BU141" s="373"/>
      <c r="BV141" s="245">
        <f t="shared" si="217"/>
        <v>0</v>
      </c>
      <c r="BX141" s="43"/>
      <c r="BY141" s="23"/>
      <c r="BZ141" s="23"/>
      <c r="CA141" s="24"/>
      <c r="CB141" s="25"/>
      <c r="CC141" s="74">
        <f t="shared" si="230"/>
        <v>0</v>
      </c>
      <c r="CD141" s="198">
        <v>1</v>
      </c>
      <c r="CE141" s="241">
        <f t="shared" si="231"/>
        <v>0</v>
      </c>
      <c r="CF141" s="379"/>
      <c r="CG141" s="376"/>
      <c r="CH141" s="376"/>
      <c r="CI141" s="376"/>
      <c r="CJ141" s="376"/>
      <c r="CK141" s="376"/>
      <c r="CL141" s="373"/>
      <c r="CM141" s="245">
        <f t="shared" si="219"/>
        <v>0</v>
      </c>
      <c r="CN141" s="39"/>
      <c r="CO141" s="3"/>
      <c r="CP141" s="75">
        <f t="shared" si="220"/>
        <v>0</v>
      </c>
      <c r="CQ141" s="3"/>
      <c r="CR141" s="76">
        <f t="shared" si="221"/>
        <v>0</v>
      </c>
      <c r="CT141" s="76">
        <f t="shared" si="233"/>
        <v>0</v>
      </c>
    </row>
    <row r="142" spans="1:98" ht="15" customHeight="1" x14ac:dyDescent="0.2">
      <c r="A142" s="392"/>
      <c r="B142" s="423"/>
      <c r="C142" s="234" t="s">
        <v>483</v>
      </c>
      <c r="D142" s="242" t="s">
        <v>91</v>
      </c>
      <c r="E142" s="234" t="s">
        <v>3</v>
      </c>
      <c r="F142" s="301">
        <f>F1*(0.18*(1.014*1.012*1.015)*1.1/1.17)*1.028</f>
        <v>0.18545767030190399</v>
      </c>
      <c r="H142" s="43"/>
      <c r="I142" s="23"/>
      <c r="J142" s="23"/>
      <c r="K142" s="24"/>
      <c r="L142" s="25"/>
      <c r="M142" s="74">
        <f t="shared" si="235"/>
        <v>0</v>
      </c>
      <c r="N142" s="198">
        <v>1</v>
      </c>
      <c r="O142" s="241">
        <f t="shared" si="223"/>
        <v>0</v>
      </c>
      <c r="P142" s="379"/>
      <c r="Q142" s="376"/>
      <c r="R142" s="376"/>
      <c r="S142" s="376"/>
      <c r="T142" s="376"/>
      <c r="U142" s="376"/>
      <c r="V142" s="373"/>
      <c r="W142" s="245">
        <f t="shared" si="211"/>
        <v>0</v>
      </c>
      <c r="Y142" s="43"/>
      <c r="Z142" s="23"/>
      <c r="AA142" s="23"/>
      <c r="AB142" s="24"/>
      <c r="AC142" s="25"/>
      <c r="AD142" s="74">
        <f t="shared" si="224"/>
        <v>0</v>
      </c>
      <c r="AE142" s="198">
        <v>1</v>
      </c>
      <c r="AF142" s="241">
        <f t="shared" si="225"/>
        <v>0</v>
      </c>
      <c r="AG142" s="379"/>
      <c r="AH142" s="376"/>
      <c r="AI142" s="376"/>
      <c r="AJ142" s="376"/>
      <c r="AK142" s="376"/>
      <c r="AL142" s="376"/>
      <c r="AM142" s="373"/>
      <c r="AN142" s="245">
        <f t="shared" si="213"/>
        <v>0</v>
      </c>
      <c r="AP142" s="43"/>
      <c r="AQ142" s="23"/>
      <c r="AR142" s="23"/>
      <c r="AS142" s="24"/>
      <c r="AT142" s="25"/>
      <c r="AU142" s="74">
        <f t="shared" si="226"/>
        <v>0</v>
      </c>
      <c r="AV142" s="198">
        <v>1</v>
      </c>
      <c r="AW142" s="241">
        <f t="shared" si="227"/>
        <v>0</v>
      </c>
      <c r="AX142" s="379"/>
      <c r="AY142" s="376"/>
      <c r="AZ142" s="376"/>
      <c r="BA142" s="376"/>
      <c r="BB142" s="376"/>
      <c r="BC142" s="376"/>
      <c r="BD142" s="373"/>
      <c r="BE142" s="245">
        <f t="shared" si="215"/>
        <v>0</v>
      </c>
      <c r="BG142" s="43"/>
      <c r="BH142" s="23"/>
      <c r="BI142" s="23"/>
      <c r="BJ142" s="24"/>
      <c r="BK142" s="25"/>
      <c r="BL142" s="74">
        <f t="shared" si="228"/>
        <v>0</v>
      </c>
      <c r="BM142" s="198">
        <v>1</v>
      </c>
      <c r="BN142" s="241">
        <f t="shared" si="229"/>
        <v>0</v>
      </c>
      <c r="BO142" s="379"/>
      <c r="BP142" s="376"/>
      <c r="BQ142" s="376"/>
      <c r="BR142" s="376"/>
      <c r="BS142" s="376"/>
      <c r="BT142" s="376"/>
      <c r="BU142" s="373"/>
      <c r="BV142" s="245">
        <f t="shared" si="217"/>
        <v>0</v>
      </c>
      <c r="BX142" s="43"/>
      <c r="BY142" s="23"/>
      <c r="BZ142" s="23"/>
      <c r="CA142" s="24"/>
      <c r="CB142" s="25"/>
      <c r="CC142" s="74">
        <f t="shared" si="230"/>
        <v>0</v>
      </c>
      <c r="CD142" s="198">
        <v>1</v>
      </c>
      <c r="CE142" s="241">
        <f t="shared" si="231"/>
        <v>0</v>
      </c>
      <c r="CF142" s="379"/>
      <c r="CG142" s="376"/>
      <c r="CH142" s="376"/>
      <c r="CI142" s="376"/>
      <c r="CJ142" s="376"/>
      <c r="CK142" s="376"/>
      <c r="CL142" s="373"/>
      <c r="CM142" s="245">
        <f t="shared" si="219"/>
        <v>0</v>
      </c>
      <c r="CN142" s="39"/>
      <c r="CO142" s="3"/>
      <c r="CP142" s="75">
        <f t="shared" si="220"/>
        <v>0</v>
      </c>
      <c r="CQ142" s="3"/>
      <c r="CR142" s="76">
        <f t="shared" si="221"/>
        <v>0</v>
      </c>
      <c r="CT142" s="76">
        <f t="shared" si="233"/>
        <v>0</v>
      </c>
    </row>
    <row r="143" spans="1:98" ht="15" customHeight="1" x14ac:dyDescent="0.2">
      <c r="A143" s="392"/>
      <c r="B143" s="423"/>
      <c r="C143" s="234" t="s">
        <v>484</v>
      </c>
      <c r="D143" s="242" t="s">
        <v>432</v>
      </c>
      <c r="E143" s="234" t="s">
        <v>19</v>
      </c>
      <c r="F143" s="301">
        <f>F1*(0.05*(1.014*1.012*1.015)*1.1/1.17)*1.028</f>
        <v>5.1516019528306672E-2</v>
      </c>
      <c r="H143" s="43"/>
      <c r="I143" s="23"/>
      <c r="J143" s="23"/>
      <c r="K143" s="24"/>
      <c r="L143" s="25"/>
      <c r="M143" s="74">
        <f t="shared" si="235"/>
        <v>0</v>
      </c>
      <c r="N143" s="198">
        <v>1</v>
      </c>
      <c r="O143" s="241">
        <f t="shared" si="223"/>
        <v>0</v>
      </c>
      <c r="P143" s="379"/>
      <c r="Q143" s="376"/>
      <c r="R143" s="376"/>
      <c r="S143" s="376"/>
      <c r="T143" s="376"/>
      <c r="U143" s="376"/>
      <c r="V143" s="373"/>
      <c r="W143" s="245">
        <f t="shared" si="211"/>
        <v>0</v>
      </c>
      <c r="Y143" s="42">
        <v>1043.9000000000001</v>
      </c>
      <c r="Z143" s="23"/>
      <c r="AA143" s="23"/>
      <c r="AB143" s="24"/>
      <c r="AC143" s="25"/>
      <c r="AD143" s="74">
        <f t="shared" si="224"/>
        <v>1043.9000000000001</v>
      </c>
      <c r="AE143" s="364">
        <v>1.1000000000000001</v>
      </c>
      <c r="AF143" s="241">
        <f t="shared" si="225"/>
        <v>59.15533006415928</v>
      </c>
      <c r="AG143" s="379"/>
      <c r="AH143" s="376"/>
      <c r="AI143" s="376"/>
      <c r="AJ143" s="376"/>
      <c r="AK143" s="376"/>
      <c r="AL143" s="376"/>
      <c r="AM143" s="373"/>
      <c r="AN143" s="245">
        <f t="shared" si="213"/>
        <v>76.548418014050256</v>
      </c>
      <c r="AP143" s="43"/>
      <c r="AQ143" s="23"/>
      <c r="AR143" s="23"/>
      <c r="AS143" s="24"/>
      <c r="AT143" s="25"/>
      <c r="AU143" s="74">
        <f t="shared" si="226"/>
        <v>0</v>
      </c>
      <c r="AV143" s="198">
        <v>1</v>
      </c>
      <c r="AW143" s="241">
        <f t="shared" si="227"/>
        <v>0</v>
      </c>
      <c r="AX143" s="379"/>
      <c r="AY143" s="376"/>
      <c r="AZ143" s="376"/>
      <c r="BA143" s="376"/>
      <c r="BB143" s="376"/>
      <c r="BC143" s="376"/>
      <c r="BD143" s="373"/>
      <c r="BE143" s="245">
        <f t="shared" si="215"/>
        <v>0</v>
      </c>
      <c r="BG143" s="43"/>
      <c r="BH143" s="23"/>
      <c r="BI143" s="23"/>
      <c r="BJ143" s="24"/>
      <c r="BK143" s="25"/>
      <c r="BL143" s="74">
        <f t="shared" si="228"/>
        <v>0</v>
      </c>
      <c r="BM143" s="198">
        <v>1</v>
      </c>
      <c r="BN143" s="241">
        <f t="shared" si="229"/>
        <v>0</v>
      </c>
      <c r="BO143" s="379"/>
      <c r="BP143" s="376"/>
      <c r="BQ143" s="376"/>
      <c r="BR143" s="376"/>
      <c r="BS143" s="376"/>
      <c r="BT143" s="376"/>
      <c r="BU143" s="373"/>
      <c r="BV143" s="245">
        <f t="shared" si="217"/>
        <v>0</v>
      </c>
      <c r="BX143" s="43"/>
      <c r="BY143" s="23"/>
      <c r="BZ143" s="23"/>
      <c r="CA143" s="24"/>
      <c r="CB143" s="25"/>
      <c r="CC143" s="74">
        <f t="shared" si="230"/>
        <v>0</v>
      </c>
      <c r="CD143" s="198">
        <v>1</v>
      </c>
      <c r="CE143" s="241">
        <f t="shared" si="231"/>
        <v>0</v>
      </c>
      <c r="CF143" s="379"/>
      <c r="CG143" s="376"/>
      <c r="CH143" s="376"/>
      <c r="CI143" s="376"/>
      <c r="CJ143" s="376"/>
      <c r="CK143" s="376"/>
      <c r="CL143" s="373"/>
      <c r="CM143" s="245">
        <f t="shared" si="219"/>
        <v>0</v>
      </c>
      <c r="CN143" s="39"/>
      <c r="CO143" s="3"/>
      <c r="CP143" s="75">
        <f t="shared" si="220"/>
        <v>59.15533006415928</v>
      </c>
      <c r="CQ143" s="3"/>
      <c r="CR143" s="76">
        <f t="shared" si="221"/>
        <v>76.548418014050256</v>
      </c>
      <c r="CT143" s="76">
        <f t="shared" si="233"/>
        <v>1043.9000000000001</v>
      </c>
    </row>
    <row r="144" spans="1:98" ht="15" customHeight="1" x14ac:dyDescent="0.2">
      <c r="A144" s="392"/>
      <c r="B144" s="424"/>
      <c r="C144" s="234" t="s">
        <v>485</v>
      </c>
      <c r="D144" s="242" t="s">
        <v>71</v>
      </c>
      <c r="E144" s="234" t="s">
        <v>19</v>
      </c>
      <c r="F144" s="301">
        <f>F1*(0.009*(1.014*1.012*1.015)*1.1/1.17)*1.028</f>
        <v>9.2728835150952E-3</v>
      </c>
      <c r="H144" s="44"/>
      <c r="I144" s="26"/>
      <c r="J144" s="26"/>
      <c r="K144" s="45"/>
      <c r="L144" s="54"/>
      <c r="M144" s="74">
        <f t="shared" si="222"/>
        <v>0</v>
      </c>
      <c r="N144" s="198">
        <v>1</v>
      </c>
      <c r="O144" s="241">
        <f t="shared" si="223"/>
        <v>0</v>
      </c>
      <c r="P144" s="379"/>
      <c r="Q144" s="376"/>
      <c r="R144" s="376"/>
      <c r="S144" s="376"/>
      <c r="T144" s="376"/>
      <c r="U144" s="376"/>
      <c r="V144" s="373"/>
      <c r="W144" s="245">
        <f t="shared" si="211"/>
        <v>0</v>
      </c>
      <c r="Y144" s="44"/>
      <c r="Z144" s="26"/>
      <c r="AA144" s="26"/>
      <c r="AB144" s="45"/>
      <c r="AC144" s="54"/>
      <c r="AD144" s="74">
        <f t="shared" si="224"/>
        <v>0</v>
      </c>
      <c r="AE144" s="198">
        <v>1</v>
      </c>
      <c r="AF144" s="241">
        <f t="shared" si="225"/>
        <v>0</v>
      </c>
      <c r="AG144" s="379"/>
      <c r="AH144" s="376"/>
      <c r="AI144" s="376"/>
      <c r="AJ144" s="376"/>
      <c r="AK144" s="376"/>
      <c r="AL144" s="376"/>
      <c r="AM144" s="373"/>
      <c r="AN144" s="245">
        <f t="shared" si="213"/>
        <v>0</v>
      </c>
      <c r="AP144" s="44"/>
      <c r="AQ144" s="26"/>
      <c r="AR144" s="26"/>
      <c r="AS144" s="45"/>
      <c r="AT144" s="54"/>
      <c r="AU144" s="74">
        <f t="shared" si="226"/>
        <v>0</v>
      </c>
      <c r="AV144" s="198">
        <v>1</v>
      </c>
      <c r="AW144" s="241">
        <f t="shared" si="227"/>
        <v>0</v>
      </c>
      <c r="AX144" s="379"/>
      <c r="AY144" s="376"/>
      <c r="AZ144" s="376"/>
      <c r="BA144" s="376"/>
      <c r="BB144" s="376"/>
      <c r="BC144" s="376"/>
      <c r="BD144" s="373"/>
      <c r="BE144" s="245">
        <f t="shared" si="215"/>
        <v>0</v>
      </c>
      <c r="BG144" s="44"/>
      <c r="BH144" s="26"/>
      <c r="BI144" s="26"/>
      <c r="BJ144" s="45"/>
      <c r="BK144" s="54"/>
      <c r="BL144" s="74">
        <f t="shared" si="228"/>
        <v>0</v>
      </c>
      <c r="BM144" s="198">
        <v>1</v>
      </c>
      <c r="BN144" s="241">
        <f t="shared" si="229"/>
        <v>0</v>
      </c>
      <c r="BO144" s="379"/>
      <c r="BP144" s="376"/>
      <c r="BQ144" s="376"/>
      <c r="BR144" s="376"/>
      <c r="BS144" s="376"/>
      <c r="BT144" s="376"/>
      <c r="BU144" s="373"/>
      <c r="BV144" s="245">
        <f t="shared" si="217"/>
        <v>0</v>
      </c>
      <c r="BX144" s="44"/>
      <c r="BY144" s="26"/>
      <c r="BZ144" s="26"/>
      <c r="CA144" s="45"/>
      <c r="CB144" s="54"/>
      <c r="CC144" s="74">
        <f t="shared" si="230"/>
        <v>0</v>
      </c>
      <c r="CD144" s="198">
        <v>1</v>
      </c>
      <c r="CE144" s="241">
        <f t="shared" si="231"/>
        <v>0</v>
      </c>
      <c r="CF144" s="379"/>
      <c r="CG144" s="376"/>
      <c r="CH144" s="376"/>
      <c r="CI144" s="376"/>
      <c r="CJ144" s="376"/>
      <c r="CK144" s="376"/>
      <c r="CL144" s="373"/>
      <c r="CM144" s="245">
        <f t="shared" si="219"/>
        <v>0</v>
      </c>
      <c r="CN144" s="39"/>
      <c r="CO144" s="3"/>
      <c r="CP144" s="75">
        <f t="shared" si="220"/>
        <v>0</v>
      </c>
      <c r="CQ144" s="3"/>
      <c r="CR144" s="76">
        <f t="shared" si="221"/>
        <v>0</v>
      </c>
      <c r="CT144" s="76">
        <f t="shared" si="233"/>
        <v>0</v>
      </c>
    </row>
    <row r="145" spans="1:98" ht="15" customHeight="1" x14ac:dyDescent="0.2">
      <c r="A145" s="392"/>
      <c r="B145" s="425" t="s">
        <v>161</v>
      </c>
      <c r="C145" s="234" t="s">
        <v>486</v>
      </c>
      <c r="D145" s="242" t="s">
        <v>72</v>
      </c>
      <c r="E145" s="234" t="s">
        <v>19</v>
      </c>
      <c r="F145" s="301">
        <f>F1*(0.035*(1.014*1.012*1.015)*1.1/1.17)*1.028</f>
        <v>3.6061213669814678E-2</v>
      </c>
      <c r="H145" s="44"/>
      <c r="I145" s="26"/>
      <c r="J145" s="26"/>
      <c r="K145" s="45"/>
      <c r="L145" s="54"/>
      <c r="M145" s="74">
        <f t="shared" si="222"/>
        <v>0</v>
      </c>
      <c r="N145" s="198">
        <v>1</v>
      </c>
      <c r="O145" s="241">
        <f t="shared" si="223"/>
        <v>0</v>
      </c>
      <c r="P145" s="379"/>
      <c r="Q145" s="376"/>
      <c r="R145" s="376"/>
      <c r="S145" s="376"/>
      <c r="T145" s="376"/>
      <c r="U145" s="376"/>
      <c r="V145" s="373"/>
      <c r="W145" s="245">
        <f t="shared" si="211"/>
        <v>0</v>
      </c>
      <c r="Y145" s="44"/>
      <c r="Z145" s="26"/>
      <c r="AA145" s="26"/>
      <c r="AB145" s="45"/>
      <c r="AC145" s="54"/>
      <c r="AD145" s="74">
        <f t="shared" si="224"/>
        <v>0</v>
      </c>
      <c r="AE145" s="198">
        <v>1</v>
      </c>
      <c r="AF145" s="241">
        <f t="shared" si="225"/>
        <v>0</v>
      </c>
      <c r="AG145" s="379"/>
      <c r="AH145" s="376"/>
      <c r="AI145" s="376"/>
      <c r="AJ145" s="376"/>
      <c r="AK145" s="376"/>
      <c r="AL145" s="376"/>
      <c r="AM145" s="373"/>
      <c r="AN145" s="245">
        <f t="shared" si="213"/>
        <v>0</v>
      </c>
      <c r="AP145" s="44"/>
      <c r="AQ145" s="26"/>
      <c r="AR145" s="26"/>
      <c r="AS145" s="45"/>
      <c r="AT145" s="54"/>
      <c r="AU145" s="74">
        <f t="shared" si="226"/>
        <v>0</v>
      </c>
      <c r="AV145" s="198">
        <v>1</v>
      </c>
      <c r="AW145" s="241">
        <f t="shared" si="227"/>
        <v>0</v>
      </c>
      <c r="AX145" s="379"/>
      <c r="AY145" s="376"/>
      <c r="AZ145" s="376"/>
      <c r="BA145" s="376"/>
      <c r="BB145" s="376"/>
      <c r="BC145" s="376"/>
      <c r="BD145" s="373"/>
      <c r="BE145" s="245">
        <f t="shared" si="215"/>
        <v>0</v>
      </c>
      <c r="BG145" s="44"/>
      <c r="BH145" s="26"/>
      <c r="BI145" s="26"/>
      <c r="BJ145" s="45"/>
      <c r="BK145" s="54"/>
      <c r="BL145" s="74">
        <f t="shared" si="228"/>
        <v>0</v>
      </c>
      <c r="BM145" s="198">
        <v>1</v>
      </c>
      <c r="BN145" s="241">
        <f t="shared" si="229"/>
        <v>0</v>
      </c>
      <c r="BO145" s="379"/>
      <c r="BP145" s="376"/>
      <c r="BQ145" s="376"/>
      <c r="BR145" s="376"/>
      <c r="BS145" s="376"/>
      <c r="BT145" s="376"/>
      <c r="BU145" s="373"/>
      <c r="BV145" s="245">
        <f t="shared" si="217"/>
        <v>0</v>
      </c>
      <c r="BX145" s="44"/>
      <c r="BY145" s="26"/>
      <c r="BZ145" s="26"/>
      <c r="CA145" s="45"/>
      <c r="CB145" s="54"/>
      <c r="CC145" s="74">
        <f t="shared" si="230"/>
        <v>0</v>
      </c>
      <c r="CD145" s="198">
        <v>1</v>
      </c>
      <c r="CE145" s="241">
        <f t="shared" si="231"/>
        <v>0</v>
      </c>
      <c r="CF145" s="379"/>
      <c r="CG145" s="376"/>
      <c r="CH145" s="376"/>
      <c r="CI145" s="376"/>
      <c r="CJ145" s="376"/>
      <c r="CK145" s="376"/>
      <c r="CL145" s="373"/>
      <c r="CM145" s="245">
        <f t="shared" si="219"/>
        <v>0</v>
      </c>
      <c r="CN145" s="39"/>
      <c r="CO145" s="3"/>
      <c r="CP145" s="75">
        <f t="shared" si="220"/>
        <v>0</v>
      </c>
      <c r="CQ145" s="3"/>
      <c r="CR145" s="76">
        <f t="shared" si="221"/>
        <v>0</v>
      </c>
      <c r="CT145" s="76">
        <f t="shared" si="233"/>
        <v>0</v>
      </c>
    </row>
    <row r="146" spans="1:98" ht="15" customHeight="1" x14ac:dyDescent="0.2">
      <c r="A146" s="392"/>
      <c r="B146" s="423"/>
      <c r="C146" s="234" t="s">
        <v>487</v>
      </c>
      <c r="D146" s="242" t="s">
        <v>73</v>
      </c>
      <c r="E146" s="234" t="s">
        <v>3</v>
      </c>
      <c r="F146" s="301">
        <f>F1*(1.25*(1.014*1.012*1.015)*1.1/1.17)*1.028</f>
        <v>1.287900488207667</v>
      </c>
      <c r="H146" s="44"/>
      <c r="I146" s="26"/>
      <c r="J146" s="26"/>
      <c r="K146" s="45"/>
      <c r="L146" s="54"/>
      <c r="M146" s="74">
        <f t="shared" si="222"/>
        <v>0</v>
      </c>
      <c r="N146" s="198">
        <v>1</v>
      </c>
      <c r="O146" s="241">
        <f t="shared" si="223"/>
        <v>0</v>
      </c>
      <c r="P146" s="379"/>
      <c r="Q146" s="376"/>
      <c r="R146" s="376"/>
      <c r="S146" s="376"/>
      <c r="T146" s="376"/>
      <c r="U146" s="376"/>
      <c r="V146" s="373"/>
      <c r="W146" s="245">
        <f t="shared" si="211"/>
        <v>0</v>
      </c>
      <c r="Y146" s="44"/>
      <c r="Z146" s="26"/>
      <c r="AA146" s="26"/>
      <c r="AB146" s="45"/>
      <c r="AC146" s="54"/>
      <c r="AD146" s="74">
        <f t="shared" si="224"/>
        <v>0</v>
      </c>
      <c r="AE146" s="198">
        <v>1</v>
      </c>
      <c r="AF146" s="241">
        <f t="shared" si="225"/>
        <v>0</v>
      </c>
      <c r="AG146" s="379"/>
      <c r="AH146" s="376"/>
      <c r="AI146" s="376"/>
      <c r="AJ146" s="376"/>
      <c r="AK146" s="376"/>
      <c r="AL146" s="376"/>
      <c r="AM146" s="373"/>
      <c r="AN146" s="245">
        <f t="shared" si="213"/>
        <v>0</v>
      </c>
      <c r="AP146" s="44"/>
      <c r="AQ146" s="26"/>
      <c r="AR146" s="26"/>
      <c r="AS146" s="45"/>
      <c r="AT146" s="54"/>
      <c r="AU146" s="74">
        <f t="shared" si="226"/>
        <v>0</v>
      </c>
      <c r="AV146" s="198">
        <v>1</v>
      </c>
      <c r="AW146" s="241">
        <f t="shared" si="227"/>
        <v>0</v>
      </c>
      <c r="AX146" s="379"/>
      <c r="AY146" s="376"/>
      <c r="AZ146" s="376"/>
      <c r="BA146" s="376"/>
      <c r="BB146" s="376"/>
      <c r="BC146" s="376"/>
      <c r="BD146" s="373"/>
      <c r="BE146" s="245">
        <f t="shared" si="215"/>
        <v>0</v>
      </c>
      <c r="BG146" s="44"/>
      <c r="BH146" s="26"/>
      <c r="BI146" s="26"/>
      <c r="BJ146" s="45"/>
      <c r="BK146" s="54"/>
      <c r="BL146" s="74">
        <f t="shared" si="228"/>
        <v>0</v>
      </c>
      <c r="BM146" s="198">
        <v>1</v>
      </c>
      <c r="BN146" s="241">
        <f t="shared" si="229"/>
        <v>0</v>
      </c>
      <c r="BO146" s="379"/>
      <c r="BP146" s="376"/>
      <c r="BQ146" s="376"/>
      <c r="BR146" s="376"/>
      <c r="BS146" s="376"/>
      <c r="BT146" s="376"/>
      <c r="BU146" s="373"/>
      <c r="BV146" s="245">
        <f t="shared" si="217"/>
        <v>0</v>
      </c>
      <c r="BX146" s="44"/>
      <c r="BY146" s="26"/>
      <c r="BZ146" s="26"/>
      <c r="CA146" s="45"/>
      <c r="CB146" s="54"/>
      <c r="CC146" s="74">
        <f t="shared" si="230"/>
        <v>0</v>
      </c>
      <c r="CD146" s="198">
        <v>1</v>
      </c>
      <c r="CE146" s="241">
        <f t="shared" si="231"/>
        <v>0</v>
      </c>
      <c r="CF146" s="379"/>
      <c r="CG146" s="376"/>
      <c r="CH146" s="376"/>
      <c r="CI146" s="376"/>
      <c r="CJ146" s="376"/>
      <c r="CK146" s="376"/>
      <c r="CL146" s="373"/>
      <c r="CM146" s="245">
        <f t="shared" si="219"/>
        <v>0</v>
      </c>
      <c r="CN146" s="39"/>
      <c r="CO146" s="3"/>
      <c r="CP146" s="75">
        <f t="shared" si="220"/>
        <v>0</v>
      </c>
      <c r="CQ146" s="3"/>
      <c r="CR146" s="76">
        <f t="shared" si="221"/>
        <v>0</v>
      </c>
      <c r="CT146" s="76">
        <f t="shared" si="233"/>
        <v>0</v>
      </c>
    </row>
    <row r="147" spans="1:98" ht="15" customHeight="1" x14ac:dyDescent="0.2">
      <c r="A147" s="392"/>
      <c r="B147" s="424"/>
      <c r="C147" s="234" t="s">
        <v>488</v>
      </c>
      <c r="D147" s="242" t="s">
        <v>74</v>
      </c>
      <c r="E147" s="234" t="s">
        <v>3</v>
      </c>
      <c r="F147" s="301">
        <f>F1*(3*(1.014*1.012*1.015)*1.1/1.17)*1.028</f>
        <v>3.0909611716983996</v>
      </c>
      <c r="H147" s="44"/>
      <c r="I147" s="26"/>
      <c r="J147" s="26"/>
      <c r="K147" s="45"/>
      <c r="L147" s="54"/>
      <c r="M147" s="74">
        <f t="shared" si="222"/>
        <v>0</v>
      </c>
      <c r="N147" s="198">
        <v>1</v>
      </c>
      <c r="O147" s="241">
        <f t="shared" si="223"/>
        <v>0</v>
      </c>
      <c r="P147" s="379"/>
      <c r="Q147" s="376"/>
      <c r="R147" s="376"/>
      <c r="S147" s="376"/>
      <c r="T147" s="376"/>
      <c r="U147" s="376"/>
      <c r="V147" s="373"/>
      <c r="W147" s="245">
        <f t="shared" si="211"/>
        <v>0</v>
      </c>
      <c r="Y147" s="44">
        <v>3</v>
      </c>
      <c r="Z147" s="26"/>
      <c r="AA147" s="26"/>
      <c r="AB147" s="45"/>
      <c r="AC147" s="54"/>
      <c r="AD147" s="74">
        <f t="shared" si="224"/>
        <v>3</v>
      </c>
      <c r="AE147" s="198">
        <v>1</v>
      </c>
      <c r="AF147" s="241">
        <f t="shared" si="225"/>
        <v>9.2728835150951987</v>
      </c>
      <c r="AG147" s="379"/>
      <c r="AH147" s="376"/>
      <c r="AI147" s="376"/>
      <c r="AJ147" s="376"/>
      <c r="AK147" s="376"/>
      <c r="AL147" s="376"/>
      <c r="AM147" s="373"/>
      <c r="AN147" s="245">
        <f t="shared" si="213"/>
        <v>11.999334003195221</v>
      </c>
      <c r="AP147" s="44"/>
      <c r="AQ147" s="26"/>
      <c r="AR147" s="26"/>
      <c r="AS147" s="45"/>
      <c r="AT147" s="54"/>
      <c r="AU147" s="74">
        <f t="shared" si="226"/>
        <v>0</v>
      </c>
      <c r="AV147" s="198">
        <v>1</v>
      </c>
      <c r="AW147" s="241">
        <f t="shared" si="227"/>
        <v>0</v>
      </c>
      <c r="AX147" s="379"/>
      <c r="AY147" s="376"/>
      <c r="AZ147" s="376"/>
      <c r="BA147" s="376"/>
      <c r="BB147" s="376"/>
      <c r="BC147" s="376"/>
      <c r="BD147" s="373"/>
      <c r="BE147" s="245">
        <f t="shared" si="215"/>
        <v>0</v>
      </c>
      <c r="BG147" s="44"/>
      <c r="BH147" s="26"/>
      <c r="BI147" s="26"/>
      <c r="BJ147" s="45"/>
      <c r="BK147" s="54"/>
      <c r="BL147" s="74">
        <f t="shared" si="228"/>
        <v>0</v>
      </c>
      <c r="BM147" s="198">
        <v>1</v>
      </c>
      <c r="BN147" s="241">
        <f t="shared" si="229"/>
        <v>0</v>
      </c>
      <c r="BO147" s="379"/>
      <c r="BP147" s="376"/>
      <c r="BQ147" s="376"/>
      <c r="BR147" s="376"/>
      <c r="BS147" s="376"/>
      <c r="BT147" s="376"/>
      <c r="BU147" s="373"/>
      <c r="BV147" s="245">
        <f t="shared" si="217"/>
        <v>0</v>
      </c>
      <c r="BX147" s="44"/>
      <c r="BY147" s="26"/>
      <c r="BZ147" s="26"/>
      <c r="CA147" s="45"/>
      <c r="CB147" s="54"/>
      <c r="CC147" s="74">
        <f t="shared" si="230"/>
        <v>0</v>
      </c>
      <c r="CD147" s="198">
        <v>1</v>
      </c>
      <c r="CE147" s="241">
        <f t="shared" si="231"/>
        <v>0</v>
      </c>
      <c r="CF147" s="379"/>
      <c r="CG147" s="376"/>
      <c r="CH147" s="376"/>
      <c r="CI147" s="376"/>
      <c r="CJ147" s="376"/>
      <c r="CK147" s="376"/>
      <c r="CL147" s="373"/>
      <c r="CM147" s="245">
        <f t="shared" si="219"/>
        <v>0</v>
      </c>
      <c r="CN147" s="39"/>
      <c r="CO147" s="3"/>
      <c r="CP147" s="75">
        <f t="shared" si="220"/>
        <v>9.2728835150951987</v>
      </c>
      <c r="CQ147" s="3"/>
      <c r="CR147" s="76">
        <f t="shared" si="221"/>
        <v>11.999334003195221</v>
      </c>
      <c r="CT147" s="76">
        <f t="shared" si="233"/>
        <v>3</v>
      </c>
    </row>
    <row r="148" spans="1:98" ht="15" customHeight="1" x14ac:dyDescent="0.2">
      <c r="A148" s="392"/>
      <c r="B148" s="425" t="s">
        <v>162</v>
      </c>
      <c r="C148" s="234" t="s">
        <v>489</v>
      </c>
      <c r="D148" s="242" t="s">
        <v>75</v>
      </c>
      <c r="E148" s="234" t="s">
        <v>19</v>
      </c>
      <c r="F148" s="301">
        <f>F1*(0.025*(1.014*1.012*1.015)*1.1/1.17)*1.028</f>
        <v>2.5758009764153336E-2</v>
      </c>
      <c r="H148" s="44"/>
      <c r="I148" s="26"/>
      <c r="J148" s="26"/>
      <c r="K148" s="45"/>
      <c r="L148" s="54"/>
      <c r="M148" s="74">
        <f t="shared" si="222"/>
        <v>0</v>
      </c>
      <c r="N148" s="198">
        <v>1</v>
      </c>
      <c r="O148" s="241">
        <f t="shared" si="223"/>
        <v>0</v>
      </c>
      <c r="P148" s="379"/>
      <c r="Q148" s="376"/>
      <c r="R148" s="376"/>
      <c r="S148" s="376"/>
      <c r="T148" s="376"/>
      <c r="U148" s="376"/>
      <c r="V148" s="373"/>
      <c r="W148" s="245">
        <f t="shared" si="211"/>
        <v>0</v>
      </c>
      <c r="Y148" s="44"/>
      <c r="Z148" s="26"/>
      <c r="AA148" s="26"/>
      <c r="AB148" s="45"/>
      <c r="AC148" s="54"/>
      <c r="AD148" s="74">
        <f t="shared" si="224"/>
        <v>0</v>
      </c>
      <c r="AE148" s="198">
        <v>1</v>
      </c>
      <c r="AF148" s="241">
        <f t="shared" si="225"/>
        <v>0</v>
      </c>
      <c r="AG148" s="379"/>
      <c r="AH148" s="376"/>
      <c r="AI148" s="376"/>
      <c r="AJ148" s="376"/>
      <c r="AK148" s="376"/>
      <c r="AL148" s="376"/>
      <c r="AM148" s="373"/>
      <c r="AN148" s="245">
        <f t="shared" si="213"/>
        <v>0</v>
      </c>
      <c r="AP148" s="44"/>
      <c r="AQ148" s="26"/>
      <c r="AR148" s="26"/>
      <c r="AS148" s="45"/>
      <c r="AT148" s="54"/>
      <c r="AU148" s="74">
        <f t="shared" si="226"/>
        <v>0</v>
      </c>
      <c r="AV148" s="198">
        <v>1</v>
      </c>
      <c r="AW148" s="241">
        <f t="shared" si="227"/>
        <v>0</v>
      </c>
      <c r="AX148" s="379"/>
      <c r="AY148" s="376"/>
      <c r="AZ148" s="376"/>
      <c r="BA148" s="376"/>
      <c r="BB148" s="376"/>
      <c r="BC148" s="376"/>
      <c r="BD148" s="373"/>
      <c r="BE148" s="245">
        <f t="shared" si="215"/>
        <v>0</v>
      </c>
      <c r="BG148" s="44"/>
      <c r="BH148" s="26"/>
      <c r="BI148" s="26"/>
      <c r="BJ148" s="45"/>
      <c r="BK148" s="54"/>
      <c r="BL148" s="74">
        <f t="shared" si="228"/>
        <v>0</v>
      </c>
      <c r="BM148" s="198">
        <v>1</v>
      </c>
      <c r="BN148" s="241">
        <f t="shared" si="229"/>
        <v>0</v>
      </c>
      <c r="BO148" s="379"/>
      <c r="BP148" s="376"/>
      <c r="BQ148" s="376"/>
      <c r="BR148" s="376"/>
      <c r="BS148" s="376"/>
      <c r="BT148" s="376"/>
      <c r="BU148" s="373"/>
      <c r="BV148" s="245">
        <f t="shared" si="217"/>
        <v>0</v>
      </c>
      <c r="BX148" s="44"/>
      <c r="BY148" s="26"/>
      <c r="BZ148" s="26"/>
      <c r="CA148" s="45"/>
      <c r="CB148" s="54"/>
      <c r="CC148" s="74">
        <f t="shared" si="230"/>
        <v>0</v>
      </c>
      <c r="CD148" s="198">
        <v>1</v>
      </c>
      <c r="CE148" s="241">
        <f t="shared" si="231"/>
        <v>0</v>
      </c>
      <c r="CF148" s="379"/>
      <c r="CG148" s="376"/>
      <c r="CH148" s="376"/>
      <c r="CI148" s="376"/>
      <c r="CJ148" s="376"/>
      <c r="CK148" s="376"/>
      <c r="CL148" s="373"/>
      <c r="CM148" s="245">
        <f t="shared" si="219"/>
        <v>0</v>
      </c>
      <c r="CN148" s="39"/>
      <c r="CO148" s="3"/>
      <c r="CP148" s="75">
        <f t="shared" si="220"/>
        <v>0</v>
      </c>
      <c r="CQ148" s="3"/>
      <c r="CR148" s="76">
        <f t="shared" si="221"/>
        <v>0</v>
      </c>
      <c r="CT148" s="76">
        <f t="shared" si="233"/>
        <v>0</v>
      </c>
    </row>
    <row r="149" spans="1:98" ht="15" customHeight="1" x14ac:dyDescent="0.2">
      <c r="A149" s="392"/>
      <c r="B149" s="423"/>
      <c r="C149" s="234" t="s">
        <v>490</v>
      </c>
      <c r="D149" s="242" t="s">
        <v>76</v>
      </c>
      <c r="E149" s="234" t="s">
        <v>19</v>
      </c>
      <c r="F149" s="301">
        <f>F1*(0.03*(1.014*1.012*1.015)*1.1/1.17)*1.028</f>
        <v>3.0909611716984E-2</v>
      </c>
      <c r="H149" s="44"/>
      <c r="I149" s="26"/>
      <c r="J149" s="26"/>
      <c r="K149" s="45"/>
      <c r="L149" s="54"/>
      <c r="M149" s="74">
        <f t="shared" si="222"/>
        <v>0</v>
      </c>
      <c r="N149" s="198">
        <v>1</v>
      </c>
      <c r="O149" s="241">
        <f t="shared" si="223"/>
        <v>0</v>
      </c>
      <c r="P149" s="379"/>
      <c r="Q149" s="376"/>
      <c r="R149" s="376"/>
      <c r="S149" s="376"/>
      <c r="T149" s="376"/>
      <c r="U149" s="376"/>
      <c r="V149" s="373"/>
      <c r="W149" s="245">
        <f t="shared" si="211"/>
        <v>0</v>
      </c>
      <c r="Y149" s="44"/>
      <c r="Z149" s="26"/>
      <c r="AA149" s="26"/>
      <c r="AB149" s="45"/>
      <c r="AC149" s="54"/>
      <c r="AD149" s="74">
        <f t="shared" si="224"/>
        <v>0</v>
      </c>
      <c r="AE149" s="198">
        <v>1</v>
      </c>
      <c r="AF149" s="241">
        <f t="shared" si="225"/>
        <v>0</v>
      </c>
      <c r="AG149" s="379"/>
      <c r="AH149" s="376"/>
      <c r="AI149" s="376"/>
      <c r="AJ149" s="376"/>
      <c r="AK149" s="376"/>
      <c r="AL149" s="376"/>
      <c r="AM149" s="373"/>
      <c r="AN149" s="245">
        <f t="shared" si="213"/>
        <v>0</v>
      </c>
      <c r="AP149" s="44"/>
      <c r="AQ149" s="26"/>
      <c r="AR149" s="26"/>
      <c r="AS149" s="45"/>
      <c r="AT149" s="54"/>
      <c r="AU149" s="74">
        <f t="shared" si="226"/>
        <v>0</v>
      </c>
      <c r="AV149" s="198">
        <v>1</v>
      </c>
      <c r="AW149" s="241">
        <f t="shared" si="227"/>
        <v>0</v>
      </c>
      <c r="AX149" s="379"/>
      <c r="AY149" s="376"/>
      <c r="AZ149" s="376"/>
      <c r="BA149" s="376"/>
      <c r="BB149" s="376"/>
      <c r="BC149" s="376"/>
      <c r="BD149" s="373"/>
      <c r="BE149" s="245">
        <f t="shared" si="215"/>
        <v>0</v>
      </c>
      <c r="BG149" s="44"/>
      <c r="BH149" s="26"/>
      <c r="BI149" s="26"/>
      <c r="BJ149" s="45"/>
      <c r="BK149" s="54"/>
      <c r="BL149" s="74">
        <f t="shared" si="228"/>
        <v>0</v>
      </c>
      <c r="BM149" s="198">
        <v>1</v>
      </c>
      <c r="BN149" s="241">
        <f t="shared" si="229"/>
        <v>0</v>
      </c>
      <c r="BO149" s="379"/>
      <c r="BP149" s="376"/>
      <c r="BQ149" s="376"/>
      <c r="BR149" s="376"/>
      <c r="BS149" s="376"/>
      <c r="BT149" s="376"/>
      <c r="BU149" s="373"/>
      <c r="BV149" s="245">
        <f t="shared" si="217"/>
        <v>0</v>
      </c>
      <c r="BX149" s="44"/>
      <c r="BY149" s="26"/>
      <c r="BZ149" s="26"/>
      <c r="CA149" s="45"/>
      <c r="CB149" s="54"/>
      <c r="CC149" s="74">
        <f t="shared" si="230"/>
        <v>0</v>
      </c>
      <c r="CD149" s="198">
        <v>1</v>
      </c>
      <c r="CE149" s="241">
        <f t="shared" si="231"/>
        <v>0</v>
      </c>
      <c r="CF149" s="379"/>
      <c r="CG149" s="376"/>
      <c r="CH149" s="376"/>
      <c r="CI149" s="376"/>
      <c r="CJ149" s="376"/>
      <c r="CK149" s="376"/>
      <c r="CL149" s="373"/>
      <c r="CM149" s="245">
        <f t="shared" si="219"/>
        <v>0</v>
      </c>
      <c r="CN149" s="39"/>
      <c r="CO149" s="3"/>
      <c r="CP149" s="75">
        <f t="shared" si="220"/>
        <v>0</v>
      </c>
      <c r="CQ149" s="3"/>
      <c r="CR149" s="76">
        <f t="shared" si="221"/>
        <v>0</v>
      </c>
      <c r="CT149" s="76">
        <f t="shared" si="233"/>
        <v>0</v>
      </c>
    </row>
    <row r="150" spans="1:98" ht="15" customHeight="1" x14ac:dyDescent="0.2">
      <c r="A150" s="392"/>
      <c r="B150" s="423"/>
      <c r="C150" s="234" t="s">
        <v>491</v>
      </c>
      <c r="D150" s="242" t="s">
        <v>433</v>
      </c>
      <c r="E150" s="234" t="s">
        <v>19</v>
      </c>
      <c r="F150" s="301">
        <f>F1*(0.01*(1.014*1.012*1.015)*1.1/1.17)*1.028</f>
        <v>1.0303203905661333E-2</v>
      </c>
      <c r="H150" s="43"/>
      <c r="I150" s="23"/>
      <c r="J150" s="23"/>
      <c r="K150" s="24"/>
      <c r="L150" s="25"/>
      <c r="M150" s="74">
        <f t="shared" ref="M150:M151" si="236">SUM(H150:L150)</f>
        <v>0</v>
      </c>
      <c r="N150" s="198">
        <v>1</v>
      </c>
      <c r="O150" s="241">
        <f t="shared" si="223"/>
        <v>0</v>
      </c>
      <c r="P150" s="379"/>
      <c r="Q150" s="376"/>
      <c r="R150" s="376"/>
      <c r="S150" s="376"/>
      <c r="T150" s="376"/>
      <c r="U150" s="376"/>
      <c r="V150" s="373"/>
      <c r="W150" s="245">
        <f t="shared" si="211"/>
        <v>0</v>
      </c>
      <c r="Y150" s="43"/>
      <c r="Z150" s="23"/>
      <c r="AA150" s="23"/>
      <c r="AB150" s="24"/>
      <c r="AC150" s="25"/>
      <c r="AD150" s="74">
        <f t="shared" si="224"/>
        <v>0</v>
      </c>
      <c r="AE150" s="198">
        <v>1</v>
      </c>
      <c r="AF150" s="241">
        <f t="shared" si="225"/>
        <v>0</v>
      </c>
      <c r="AG150" s="379"/>
      <c r="AH150" s="376"/>
      <c r="AI150" s="376"/>
      <c r="AJ150" s="376"/>
      <c r="AK150" s="376"/>
      <c r="AL150" s="376"/>
      <c r="AM150" s="373"/>
      <c r="AN150" s="245">
        <f t="shared" si="213"/>
        <v>0</v>
      </c>
      <c r="AP150" s="43"/>
      <c r="AQ150" s="23"/>
      <c r="AR150" s="23"/>
      <c r="AS150" s="24"/>
      <c r="AT150" s="25"/>
      <c r="AU150" s="74">
        <f t="shared" si="226"/>
        <v>0</v>
      </c>
      <c r="AV150" s="198">
        <v>1</v>
      </c>
      <c r="AW150" s="241">
        <f t="shared" si="227"/>
        <v>0</v>
      </c>
      <c r="AX150" s="379"/>
      <c r="AY150" s="376"/>
      <c r="AZ150" s="376"/>
      <c r="BA150" s="376"/>
      <c r="BB150" s="376"/>
      <c r="BC150" s="376"/>
      <c r="BD150" s="373"/>
      <c r="BE150" s="245">
        <f t="shared" si="215"/>
        <v>0</v>
      </c>
      <c r="BG150" s="43"/>
      <c r="BH150" s="23"/>
      <c r="BI150" s="23"/>
      <c r="BJ150" s="24"/>
      <c r="BK150" s="25"/>
      <c r="BL150" s="74">
        <f t="shared" si="228"/>
        <v>0</v>
      </c>
      <c r="BM150" s="198">
        <v>1</v>
      </c>
      <c r="BN150" s="241">
        <f t="shared" si="229"/>
        <v>0</v>
      </c>
      <c r="BO150" s="379"/>
      <c r="BP150" s="376"/>
      <c r="BQ150" s="376"/>
      <c r="BR150" s="376"/>
      <c r="BS150" s="376"/>
      <c r="BT150" s="376"/>
      <c r="BU150" s="373"/>
      <c r="BV150" s="245">
        <f t="shared" si="217"/>
        <v>0</v>
      </c>
      <c r="BX150" s="43"/>
      <c r="BY150" s="23"/>
      <c r="BZ150" s="23"/>
      <c r="CA150" s="24"/>
      <c r="CB150" s="25"/>
      <c r="CC150" s="74">
        <f t="shared" si="230"/>
        <v>0</v>
      </c>
      <c r="CD150" s="198">
        <v>1</v>
      </c>
      <c r="CE150" s="241">
        <f t="shared" si="231"/>
        <v>0</v>
      </c>
      <c r="CF150" s="379"/>
      <c r="CG150" s="376"/>
      <c r="CH150" s="376"/>
      <c r="CI150" s="376"/>
      <c r="CJ150" s="376"/>
      <c r="CK150" s="376"/>
      <c r="CL150" s="373"/>
      <c r="CM150" s="245">
        <f t="shared" si="219"/>
        <v>0</v>
      </c>
      <c r="CN150" s="39"/>
      <c r="CO150" s="3"/>
      <c r="CP150" s="75">
        <f t="shared" si="220"/>
        <v>0</v>
      </c>
      <c r="CQ150" s="3"/>
      <c r="CR150" s="76">
        <f t="shared" si="221"/>
        <v>0</v>
      </c>
      <c r="CT150" s="76">
        <f t="shared" si="233"/>
        <v>0</v>
      </c>
    </row>
    <row r="151" spans="1:98" ht="15" customHeight="1" x14ac:dyDescent="0.2">
      <c r="A151" s="392"/>
      <c r="B151" s="423"/>
      <c r="C151" s="234" t="s">
        <v>492</v>
      </c>
      <c r="D151" s="242" t="s">
        <v>434</v>
      </c>
      <c r="E151" s="234" t="s">
        <v>19</v>
      </c>
      <c r="F151" s="301">
        <f>F1*(0.0095*(1.014*1.012*1.015)*1.1/1.17)*1.028</f>
        <v>9.7880437103782664E-3</v>
      </c>
      <c r="H151" s="43"/>
      <c r="I151" s="23"/>
      <c r="J151" s="23"/>
      <c r="K151" s="24"/>
      <c r="L151" s="25"/>
      <c r="M151" s="74">
        <f t="shared" si="236"/>
        <v>0</v>
      </c>
      <c r="N151" s="198">
        <v>1</v>
      </c>
      <c r="O151" s="241">
        <f t="shared" si="223"/>
        <v>0</v>
      </c>
      <c r="P151" s="379"/>
      <c r="Q151" s="376"/>
      <c r="R151" s="376"/>
      <c r="S151" s="376"/>
      <c r="T151" s="376"/>
      <c r="U151" s="376"/>
      <c r="V151" s="373"/>
      <c r="W151" s="245">
        <f t="shared" si="211"/>
        <v>0</v>
      </c>
      <c r="Y151" s="43"/>
      <c r="Z151" s="23"/>
      <c r="AA151" s="23"/>
      <c r="AB151" s="24"/>
      <c r="AC151" s="25"/>
      <c r="AD151" s="74">
        <f t="shared" si="224"/>
        <v>0</v>
      </c>
      <c r="AE151" s="198">
        <v>1</v>
      </c>
      <c r="AF151" s="241">
        <f t="shared" si="225"/>
        <v>0</v>
      </c>
      <c r="AG151" s="379"/>
      <c r="AH151" s="376"/>
      <c r="AI151" s="376"/>
      <c r="AJ151" s="376"/>
      <c r="AK151" s="376"/>
      <c r="AL151" s="376"/>
      <c r="AM151" s="373"/>
      <c r="AN151" s="245">
        <f t="shared" si="213"/>
        <v>0</v>
      </c>
      <c r="AP151" s="43"/>
      <c r="AQ151" s="23"/>
      <c r="AR151" s="23"/>
      <c r="AS151" s="24"/>
      <c r="AT151" s="25"/>
      <c r="AU151" s="74">
        <f t="shared" si="226"/>
        <v>0</v>
      </c>
      <c r="AV151" s="198">
        <v>1</v>
      </c>
      <c r="AW151" s="241">
        <f t="shared" si="227"/>
        <v>0</v>
      </c>
      <c r="AX151" s="379"/>
      <c r="AY151" s="376"/>
      <c r="AZ151" s="376"/>
      <c r="BA151" s="376"/>
      <c r="BB151" s="376"/>
      <c r="BC151" s="376"/>
      <c r="BD151" s="373"/>
      <c r="BE151" s="245">
        <f t="shared" si="215"/>
        <v>0</v>
      </c>
      <c r="BG151" s="43"/>
      <c r="BH151" s="23"/>
      <c r="BI151" s="23"/>
      <c r="BJ151" s="24"/>
      <c r="BK151" s="25"/>
      <c r="BL151" s="74">
        <f t="shared" si="228"/>
        <v>0</v>
      </c>
      <c r="BM151" s="198">
        <v>1</v>
      </c>
      <c r="BN151" s="241">
        <f t="shared" si="229"/>
        <v>0</v>
      </c>
      <c r="BO151" s="379"/>
      <c r="BP151" s="376"/>
      <c r="BQ151" s="376"/>
      <c r="BR151" s="376"/>
      <c r="BS151" s="376"/>
      <c r="BT151" s="376"/>
      <c r="BU151" s="373"/>
      <c r="BV151" s="245">
        <f t="shared" si="217"/>
        <v>0</v>
      </c>
      <c r="BX151" s="43"/>
      <c r="BY151" s="23"/>
      <c r="BZ151" s="23"/>
      <c r="CA151" s="24"/>
      <c r="CB151" s="25"/>
      <c r="CC151" s="74">
        <f t="shared" si="230"/>
        <v>0</v>
      </c>
      <c r="CD151" s="198">
        <v>1</v>
      </c>
      <c r="CE151" s="241">
        <f t="shared" si="231"/>
        <v>0</v>
      </c>
      <c r="CF151" s="379"/>
      <c r="CG151" s="376"/>
      <c r="CH151" s="376"/>
      <c r="CI151" s="376"/>
      <c r="CJ151" s="376"/>
      <c r="CK151" s="376"/>
      <c r="CL151" s="373"/>
      <c r="CM151" s="245">
        <f t="shared" si="219"/>
        <v>0</v>
      </c>
      <c r="CN151" s="39"/>
      <c r="CO151" s="3"/>
      <c r="CP151" s="75">
        <f t="shared" si="220"/>
        <v>0</v>
      </c>
      <c r="CQ151" s="3"/>
      <c r="CR151" s="76">
        <f t="shared" si="221"/>
        <v>0</v>
      </c>
      <c r="CT151" s="76">
        <f t="shared" si="233"/>
        <v>0</v>
      </c>
    </row>
    <row r="152" spans="1:98" ht="15" customHeight="1" x14ac:dyDescent="0.2">
      <c r="A152" s="392"/>
      <c r="B152" s="424"/>
      <c r="C152" s="234" t="s">
        <v>493</v>
      </c>
      <c r="D152" s="242" t="s">
        <v>77</v>
      </c>
      <c r="E152" s="234" t="s">
        <v>19</v>
      </c>
      <c r="F152" s="301">
        <f>F1*(0.0175*(1.014*1.012*1.015)*1.1/1.17)*1.028</f>
        <v>1.8030606834907339E-2</v>
      </c>
      <c r="H152" s="44"/>
      <c r="I152" s="26"/>
      <c r="J152" s="26"/>
      <c r="K152" s="45"/>
      <c r="L152" s="54"/>
      <c r="M152" s="74">
        <f>SUM(H152:L152)</f>
        <v>0</v>
      </c>
      <c r="N152" s="198">
        <v>1</v>
      </c>
      <c r="O152" s="241">
        <f t="shared" si="223"/>
        <v>0</v>
      </c>
      <c r="P152" s="379"/>
      <c r="Q152" s="376"/>
      <c r="R152" s="376"/>
      <c r="S152" s="376"/>
      <c r="T152" s="376"/>
      <c r="U152" s="376"/>
      <c r="V152" s="373"/>
      <c r="W152" s="245">
        <f t="shared" si="211"/>
        <v>0</v>
      </c>
      <c r="Y152" s="44"/>
      <c r="Z152" s="26"/>
      <c r="AA152" s="26"/>
      <c r="AB152" s="45"/>
      <c r="AC152" s="54"/>
      <c r="AD152" s="74">
        <f t="shared" si="224"/>
        <v>0</v>
      </c>
      <c r="AE152" s="198">
        <v>1</v>
      </c>
      <c r="AF152" s="241">
        <f t="shared" si="225"/>
        <v>0</v>
      </c>
      <c r="AG152" s="379"/>
      <c r="AH152" s="376"/>
      <c r="AI152" s="376"/>
      <c r="AJ152" s="376"/>
      <c r="AK152" s="376"/>
      <c r="AL152" s="376"/>
      <c r="AM152" s="373"/>
      <c r="AN152" s="245">
        <f t="shared" si="213"/>
        <v>0</v>
      </c>
      <c r="AP152" s="44"/>
      <c r="AQ152" s="26"/>
      <c r="AR152" s="26"/>
      <c r="AS152" s="45"/>
      <c r="AT152" s="54"/>
      <c r="AU152" s="74">
        <f t="shared" si="226"/>
        <v>0</v>
      </c>
      <c r="AV152" s="198">
        <v>1</v>
      </c>
      <c r="AW152" s="241">
        <f t="shared" si="227"/>
        <v>0</v>
      </c>
      <c r="AX152" s="379"/>
      <c r="AY152" s="376"/>
      <c r="AZ152" s="376"/>
      <c r="BA152" s="376"/>
      <c r="BB152" s="376"/>
      <c r="BC152" s="376"/>
      <c r="BD152" s="373"/>
      <c r="BE152" s="245">
        <f t="shared" si="215"/>
        <v>0</v>
      </c>
      <c r="BG152" s="44"/>
      <c r="BH152" s="26"/>
      <c r="BI152" s="26"/>
      <c r="BJ152" s="45"/>
      <c r="BK152" s="54"/>
      <c r="BL152" s="74">
        <f t="shared" si="228"/>
        <v>0</v>
      </c>
      <c r="BM152" s="198">
        <v>1</v>
      </c>
      <c r="BN152" s="241">
        <f t="shared" si="229"/>
        <v>0</v>
      </c>
      <c r="BO152" s="379"/>
      <c r="BP152" s="376"/>
      <c r="BQ152" s="376"/>
      <c r="BR152" s="376"/>
      <c r="BS152" s="376"/>
      <c r="BT152" s="376"/>
      <c r="BU152" s="373"/>
      <c r="BV152" s="245">
        <f t="shared" si="217"/>
        <v>0</v>
      </c>
      <c r="BX152" s="44"/>
      <c r="BY152" s="26"/>
      <c r="BZ152" s="26"/>
      <c r="CA152" s="45"/>
      <c r="CB152" s="54"/>
      <c r="CC152" s="74">
        <f t="shared" si="230"/>
        <v>0</v>
      </c>
      <c r="CD152" s="198">
        <v>1</v>
      </c>
      <c r="CE152" s="241">
        <f t="shared" si="231"/>
        <v>0</v>
      </c>
      <c r="CF152" s="379"/>
      <c r="CG152" s="376"/>
      <c r="CH152" s="376"/>
      <c r="CI152" s="376"/>
      <c r="CJ152" s="376"/>
      <c r="CK152" s="376"/>
      <c r="CL152" s="373"/>
      <c r="CM152" s="245">
        <f t="shared" si="219"/>
        <v>0</v>
      </c>
      <c r="CN152" s="39"/>
      <c r="CO152" s="3"/>
      <c r="CP152" s="75">
        <f t="shared" si="220"/>
        <v>0</v>
      </c>
      <c r="CQ152" s="3"/>
      <c r="CR152" s="76">
        <f t="shared" si="221"/>
        <v>0</v>
      </c>
      <c r="CT152" s="76">
        <f t="shared" si="233"/>
        <v>0</v>
      </c>
    </row>
    <row r="153" spans="1:98" ht="15" customHeight="1" x14ac:dyDescent="0.2">
      <c r="A153" s="392"/>
      <c r="B153" s="394" t="s">
        <v>41</v>
      </c>
      <c r="C153" s="234" t="s">
        <v>494</v>
      </c>
      <c r="D153" s="201" t="s">
        <v>357</v>
      </c>
      <c r="E153" s="202"/>
      <c r="F153" s="322"/>
      <c r="H153" s="67"/>
      <c r="I153" s="68"/>
      <c r="J153" s="68"/>
      <c r="K153" s="69"/>
      <c r="L153" s="70"/>
      <c r="M153" s="82">
        <f>SUM(H153:L153)</f>
        <v>0</v>
      </c>
      <c r="N153" s="244">
        <v>1</v>
      </c>
      <c r="O153" s="245">
        <f t="shared" si="223"/>
        <v>0</v>
      </c>
      <c r="P153" s="379"/>
      <c r="Q153" s="376"/>
      <c r="R153" s="376"/>
      <c r="S153" s="376"/>
      <c r="T153" s="376"/>
      <c r="U153" s="376"/>
      <c r="V153" s="373"/>
      <c r="W153" s="245">
        <f t="shared" si="211"/>
        <v>0</v>
      </c>
      <c r="Y153" s="67"/>
      <c r="Z153" s="68"/>
      <c r="AA153" s="68"/>
      <c r="AB153" s="69"/>
      <c r="AC153" s="70"/>
      <c r="AD153" s="82">
        <f t="shared" si="224"/>
        <v>0</v>
      </c>
      <c r="AE153" s="244">
        <v>1</v>
      </c>
      <c r="AF153" s="245">
        <f t="shared" si="225"/>
        <v>0</v>
      </c>
      <c r="AG153" s="379"/>
      <c r="AH153" s="376"/>
      <c r="AI153" s="376"/>
      <c r="AJ153" s="376"/>
      <c r="AK153" s="376"/>
      <c r="AL153" s="376"/>
      <c r="AM153" s="373"/>
      <c r="AN153" s="245">
        <f t="shared" si="213"/>
        <v>0</v>
      </c>
      <c r="AP153" s="67"/>
      <c r="AQ153" s="68"/>
      <c r="AR153" s="68"/>
      <c r="AS153" s="69"/>
      <c r="AT153" s="70"/>
      <c r="AU153" s="82">
        <f t="shared" si="226"/>
        <v>0</v>
      </c>
      <c r="AV153" s="244">
        <v>1</v>
      </c>
      <c r="AW153" s="245">
        <f t="shared" si="227"/>
        <v>0</v>
      </c>
      <c r="AX153" s="379"/>
      <c r="AY153" s="376"/>
      <c r="AZ153" s="376"/>
      <c r="BA153" s="376"/>
      <c r="BB153" s="376"/>
      <c r="BC153" s="376"/>
      <c r="BD153" s="373"/>
      <c r="BE153" s="245">
        <f t="shared" si="215"/>
        <v>0</v>
      </c>
      <c r="BG153" s="67"/>
      <c r="BH153" s="68"/>
      <c r="BI153" s="68"/>
      <c r="BJ153" s="69"/>
      <c r="BK153" s="70"/>
      <c r="BL153" s="82">
        <f t="shared" si="228"/>
        <v>0</v>
      </c>
      <c r="BM153" s="244">
        <v>1</v>
      </c>
      <c r="BN153" s="245">
        <f t="shared" si="229"/>
        <v>0</v>
      </c>
      <c r="BO153" s="379"/>
      <c r="BP153" s="376"/>
      <c r="BQ153" s="376"/>
      <c r="BR153" s="376"/>
      <c r="BS153" s="376"/>
      <c r="BT153" s="376"/>
      <c r="BU153" s="373"/>
      <c r="BV153" s="245">
        <f t="shared" si="217"/>
        <v>0</v>
      </c>
      <c r="BX153" s="67"/>
      <c r="BY153" s="68"/>
      <c r="BZ153" s="68"/>
      <c r="CA153" s="69"/>
      <c r="CB153" s="70"/>
      <c r="CC153" s="82">
        <f t="shared" si="230"/>
        <v>0</v>
      </c>
      <c r="CD153" s="244">
        <v>1</v>
      </c>
      <c r="CE153" s="245">
        <f t="shared" si="231"/>
        <v>0</v>
      </c>
      <c r="CF153" s="379"/>
      <c r="CG153" s="376"/>
      <c r="CH153" s="376"/>
      <c r="CI153" s="376"/>
      <c r="CJ153" s="376"/>
      <c r="CK153" s="376"/>
      <c r="CL153" s="373"/>
      <c r="CM153" s="245">
        <f t="shared" si="219"/>
        <v>0</v>
      </c>
      <c r="CN153" s="39"/>
      <c r="CO153" s="3"/>
      <c r="CP153" s="75">
        <f t="shared" si="220"/>
        <v>0</v>
      </c>
      <c r="CQ153" s="3"/>
      <c r="CR153" s="76">
        <f t="shared" si="221"/>
        <v>0</v>
      </c>
      <c r="CT153" s="76">
        <f t="shared" si="233"/>
        <v>0</v>
      </c>
    </row>
    <row r="154" spans="1:98" ht="15" customHeight="1" x14ac:dyDescent="0.2">
      <c r="A154" s="392"/>
      <c r="B154" s="395"/>
      <c r="C154" s="234" t="s">
        <v>495</v>
      </c>
      <c r="D154" s="201" t="s">
        <v>357</v>
      </c>
      <c r="E154" s="202"/>
      <c r="F154" s="322"/>
      <c r="H154" s="67"/>
      <c r="I154" s="68"/>
      <c r="J154" s="68"/>
      <c r="K154" s="69"/>
      <c r="L154" s="70"/>
      <c r="M154" s="74">
        <f>SUM(H154:L154)</f>
        <v>0</v>
      </c>
      <c r="N154" s="240">
        <v>1</v>
      </c>
      <c r="O154" s="241">
        <f t="shared" si="223"/>
        <v>0</v>
      </c>
      <c r="P154" s="379"/>
      <c r="Q154" s="376"/>
      <c r="R154" s="376"/>
      <c r="S154" s="376"/>
      <c r="T154" s="376"/>
      <c r="U154" s="376"/>
      <c r="V154" s="373"/>
      <c r="W154" s="245">
        <f t="shared" si="211"/>
        <v>0</v>
      </c>
      <c r="Y154" s="67"/>
      <c r="Z154" s="68"/>
      <c r="AA154" s="68"/>
      <c r="AB154" s="69"/>
      <c r="AC154" s="70"/>
      <c r="AD154" s="74">
        <f t="shared" si="224"/>
        <v>0</v>
      </c>
      <c r="AE154" s="240">
        <v>1</v>
      </c>
      <c r="AF154" s="241">
        <f t="shared" si="225"/>
        <v>0</v>
      </c>
      <c r="AG154" s="379"/>
      <c r="AH154" s="376"/>
      <c r="AI154" s="376"/>
      <c r="AJ154" s="376"/>
      <c r="AK154" s="376"/>
      <c r="AL154" s="376"/>
      <c r="AM154" s="373"/>
      <c r="AN154" s="245">
        <f t="shared" si="213"/>
        <v>0</v>
      </c>
      <c r="AP154" s="67"/>
      <c r="AQ154" s="68"/>
      <c r="AR154" s="68"/>
      <c r="AS154" s="69"/>
      <c r="AT154" s="70"/>
      <c r="AU154" s="74">
        <f t="shared" si="226"/>
        <v>0</v>
      </c>
      <c r="AV154" s="240">
        <v>1</v>
      </c>
      <c r="AW154" s="241">
        <f t="shared" si="227"/>
        <v>0</v>
      </c>
      <c r="AX154" s="379"/>
      <c r="AY154" s="376"/>
      <c r="AZ154" s="376"/>
      <c r="BA154" s="376"/>
      <c r="BB154" s="376"/>
      <c r="BC154" s="376"/>
      <c r="BD154" s="373"/>
      <c r="BE154" s="245">
        <f t="shared" si="215"/>
        <v>0</v>
      </c>
      <c r="BG154" s="67"/>
      <c r="BH154" s="68"/>
      <c r="BI154" s="68"/>
      <c r="BJ154" s="69"/>
      <c r="BK154" s="70"/>
      <c r="BL154" s="74">
        <f t="shared" si="228"/>
        <v>0</v>
      </c>
      <c r="BM154" s="240">
        <v>1</v>
      </c>
      <c r="BN154" s="241">
        <f t="shared" si="229"/>
        <v>0</v>
      </c>
      <c r="BO154" s="379"/>
      <c r="BP154" s="376"/>
      <c r="BQ154" s="376"/>
      <c r="BR154" s="376"/>
      <c r="BS154" s="376"/>
      <c r="BT154" s="376"/>
      <c r="BU154" s="373"/>
      <c r="BV154" s="245">
        <f t="shared" si="217"/>
        <v>0</v>
      </c>
      <c r="BX154" s="67"/>
      <c r="BY154" s="68"/>
      <c r="BZ154" s="68"/>
      <c r="CA154" s="69"/>
      <c r="CB154" s="70"/>
      <c r="CC154" s="74">
        <f t="shared" si="230"/>
        <v>0</v>
      </c>
      <c r="CD154" s="240">
        <v>1</v>
      </c>
      <c r="CE154" s="241">
        <f t="shared" si="231"/>
        <v>0</v>
      </c>
      <c r="CF154" s="379"/>
      <c r="CG154" s="376"/>
      <c r="CH154" s="376"/>
      <c r="CI154" s="376"/>
      <c r="CJ154" s="376"/>
      <c r="CK154" s="376"/>
      <c r="CL154" s="373"/>
      <c r="CM154" s="245">
        <f t="shared" si="219"/>
        <v>0</v>
      </c>
      <c r="CN154" s="39"/>
      <c r="CO154" s="3"/>
      <c r="CP154" s="75">
        <f t="shared" si="220"/>
        <v>0</v>
      </c>
      <c r="CQ154" s="3"/>
      <c r="CR154" s="76">
        <f t="shared" si="221"/>
        <v>0</v>
      </c>
      <c r="CT154" s="76">
        <f t="shared" si="233"/>
        <v>0</v>
      </c>
    </row>
    <row r="155" spans="1:98" s="4" customFormat="1" ht="15" customHeight="1" x14ac:dyDescent="0.2">
      <c r="A155" s="392"/>
      <c r="B155" s="395"/>
      <c r="C155" s="234" t="s">
        <v>496</v>
      </c>
      <c r="D155" s="201" t="s">
        <v>357</v>
      </c>
      <c r="E155" s="202"/>
      <c r="F155" s="322"/>
      <c r="G155" s="1"/>
      <c r="H155" s="67"/>
      <c r="I155" s="68"/>
      <c r="J155" s="68"/>
      <c r="K155" s="69"/>
      <c r="L155" s="70"/>
      <c r="M155" s="74">
        <f>SUM(H155:L155)</f>
        <v>0</v>
      </c>
      <c r="N155" s="240">
        <v>1</v>
      </c>
      <c r="O155" s="241">
        <f t="shared" si="223"/>
        <v>0</v>
      </c>
      <c r="P155" s="379"/>
      <c r="Q155" s="376"/>
      <c r="R155" s="376"/>
      <c r="S155" s="376"/>
      <c r="T155" s="376"/>
      <c r="U155" s="376"/>
      <c r="V155" s="373"/>
      <c r="W155" s="245">
        <f t="shared" si="211"/>
        <v>0</v>
      </c>
      <c r="X155" s="1"/>
      <c r="Y155" s="67"/>
      <c r="Z155" s="68"/>
      <c r="AA155" s="68"/>
      <c r="AB155" s="69"/>
      <c r="AC155" s="70"/>
      <c r="AD155" s="74">
        <f t="shared" si="224"/>
        <v>0</v>
      </c>
      <c r="AE155" s="240">
        <v>1</v>
      </c>
      <c r="AF155" s="241">
        <f t="shared" si="225"/>
        <v>0</v>
      </c>
      <c r="AG155" s="379"/>
      <c r="AH155" s="376"/>
      <c r="AI155" s="376"/>
      <c r="AJ155" s="376"/>
      <c r="AK155" s="376"/>
      <c r="AL155" s="376"/>
      <c r="AM155" s="373"/>
      <c r="AN155" s="245">
        <f t="shared" si="213"/>
        <v>0</v>
      </c>
      <c r="AO155" s="1"/>
      <c r="AP155" s="67"/>
      <c r="AQ155" s="68"/>
      <c r="AR155" s="68"/>
      <c r="AS155" s="69"/>
      <c r="AT155" s="70"/>
      <c r="AU155" s="74">
        <f t="shared" si="226"/>
        <v>0</v>
      </c>
      <c r="AV155" s="240">
        <v>1</v>
      </c>
      <c r="AW155" s="241">
        <f t="shared" si="227"/>
        <v>0</v>
      </c>
      <c r="AX155" s="379"/>
      <c r="AY155" s="376"/>
      <c r="AZ155" s="376"/>
      <c r="BA155" s="376"/>
      <c r="BB155" s="376"/>
      <c r="BC155" s="376"/>
      <c r="BD155" s="373"/>
      <c r="BE155" s="245">
        <f t="shared" si="215"/>
        <v>0</v>
      </c>
      <c r="BF155" s="1"/>
      <c r="BG155" s="67"/>
      <c r="BH155" s="68"/>
      <c r="BI155" s="68"/>
      <c r="BJ155" s="69"/>
      <c r="BK155" s="70"/>
      <c r="BL155" s="74">
        <f t="shared" si="228"/>
        <v>0</v>
      </c>
      <c r="BM155" s="240">
        <v>1</v>
      </c>
      <c r="BN155" s="241">
        <f t="shared" si="229"/>
        <v>0</v>
      </c>
      <c r="BO155" s="379"/>
      <c r="BP155" s="376"/>
      <c r="BQ155" s="376"/>
      <c r="BR155" s="376"/>
      <c r="BS155" s="376"/>
      <c r="BT155" s="376"/>
      <c r="BU155" s="373"/>
      <c r="BV155" s="245">
        <f t="shared" si="217"/>
        <v>0</v>
      </c>
      <c r="BW155" s="1"/>
      <c r="BX155" s="67"/>
      <c r="BY155" s="68"/>
      <c r="BZ155" s="68"/>
      <c r="CA155" s="69"/>
      <c r="CB155" s="70"/>
      <c r="CC155" s="74">
        <f t="shared" si="230"/>
        <v>0</v>
      </c>
      <c r="CD155" s="240">
        <v>1</v>
      </c>
      <c r="CE155" s="241">
        <f t="shared" si="231"/>
        <v>0</v>
      </c>
      <c r="CF155" s="379"/>
      <c r="CG155" s="376"/>
      <c r="CH155" s="376"/>
      <c r="CI155" s="376"/>
      <c r="CJ155" s="376"/>
      <c r="CK155" s="376"/>
      <c r="CL155" s="373"/>
      <c r="CM155" s="245">
        <f t="shared" si="219"/>
        <v>0</v>
      </c>
      <c r="CN155" s="39"/>
      <c r="CO155" s="3"/>
      <c r="CP155" s="75">
        <f t="shared" si="220"/>
        <v>0</v>
      </c>
      <c r="CQ155" s="55"/>
      <c r="CR155" s="76">
        <f t="shared" si="221"/>
        <v>0</v>
      </c>
      <c r="CT155" s="76">
        <f t="shared" si="233"/>
        <v>0</v>
      </c>
    </row>
    <row r="156" spans="1:98" s="4" customFormat="1" ht="15" customHeight="1" x14ac:dyDescent="0.2">
      <c r="A156" s="392"/>
      <c r="B156" s="395"/>
      <c r="C156" s="234" t="s">
        <v>497</v>
      </c>
      <c r="D156" s="204" t="s">
        <v>215</v>
      </c>
      <c r="E156" s="205" t="s">
        <v>10</v>
      </c>
      <c r="F156" s="323"/>
      <c r="G156" s="1"/>
      <c r="H156" s="67"/>
      <c r="I156" s="68"/>
      <c r="J156" s="68"/>
      <c r="K156" s="69"/>
      <c r="L156" s="70"/>
      <c r="M156" s="82"/>
      <c r="N156" s="246"/>
      <c r="O156" s="245">
        <f>SUM(H156:L156)</f>
        <v>0</v>
      </c>
      <c r="P156" s="379"/>
      <c r="Q156" s="376"/>
      <c r="R156" s="376"/>
      <c r="S156" s="376"/>
      <c r="T156" s="376"/>
      <c r="U156" s="376"/>
      <c r="V156" s="373"/>
      <c r="W156" s="245">
        <f t="shared" si="211"/>
        <v>0</v>
      </c>
      <c r="X156" s="1"/>
      <c r="Y156" s="365">
        <v>15.403</v>
      </c>
      <c r="Z156" s="68"/>
      <c r="AA156" s="68"/>
      <c r="AB156" s="69"/>
      <c r="AC156" s="70"/>
      <c r="AD156" s="82"/>
      <c r="AE156" s="246"/>
      <c r="AF156" s="245">
        <f>SUM(Y156:AC156)</f>
        <v>15.403</v>
      </c>
      <c r="AG156" s="379"/>
      <c r="AH156" s="376"/>
      <c r="AI156" s="376"/>
      <c r="AJ156" s="376"/>
      <c r="AK156" s="376"/>
      <c r="AL156" s="376"/>
      <c r="AM156" s="373"/>
      <c r="AN156" s="245">
        <f t="shared" si="213"/>
        <v>19.931851980060003</v>
      </c>
      <c r="AO156" s="1"/>
      <c r="AP156" s="67"/>
      <c r="AQ156" s="68"/>
      <c r="AR156" s="68"/>
      <c r="AS156" s="69"/>
      <c r="AT156" s="70"/>
      <c r="AU156" s="82"/>
      <c r="AV156" s="246"/>
      <c r="AW156" s="245">
        <f>SUM(AP156:AT156)</f>
        <v>0</v>
      </c>
      <c r="AX156" s="379"/>
      <c r="AY156" s="376"/>
      <c r="AZ156" s="376"/>
      <c r="BA156" s="376"/>
      <c r="BB156" s="376"/>
      <c r="BC156" s="376"/>
      <c r="BD156" s="373"/>
      <c r="BE156" s="245">
        <f t="shared" si="215"/>
        <v>0</v>
      </c>
      <c r="BF156" s="1"/>
      <c r="BG156" s="67"/>
      <c r="BH156" s="68"/>
      <c r="BI156" s="68"/>
      <c r="BJ156" s="69"/>
      <c r="BK156" s="70"/>
      <c r="BL156" s="82"/>
      <c r="BM156" s="246"/>
      <c r="BN156" s="245">
        <f>SUM(BG156:BK156)</f>
        <v>0</v>
      </c>
      <c r="BO156" s="379"/>
      <c r="BP156" s="376"/>
      <c r="BQ156" s="376"/>
      <c r="BR156" s="376"/>
      <c r="BS156" s="376"/>
      <c r="BT156" s="376"/>
      <c r="BU156" s="373"/>
      <c r="BV156" s="245">
        <f t="shared" si="217"/>
        <v>0</v>
      </c>
      <c r="BW156" s="1"/>
      <c r="BX156" s="67"/>
      <c r="BY156" s="68"/>
      <c r="BZ156" s="68"/>
      <c r="CA156" s="69"/>
      <c r="CB156" s="70"/>
      <c r="CC156" s="82"/>
      <c r="CD156" s="246"/>
      <c r="CE156" s="245">
        <f>SUM(BX156:CB156)</f>
        <v>0</v>
      </c>
      <c r="CF156" s="379"/>
      <c r="CG156" s="376"/>
      <c r="CH156" s="376"/>
      <c r="CI156" s="376"/>
      <c r="CJ156" s="376"/>
      <c r="CK156" s="376"/>
      <c r="CL156" s="373"/>
      <c r="CM156" s="245">
        <f t="shared" si="219"/>
        <v>0</v>
      </c>
      <c r="CN156" s="39"/>
      <c r="CO156" s="55"/>
      <c r="CP156" s="75">
        <f t="shared" si="220"/>
        <v>15.403</v>
      </c>
      <c r="CQ156" s="55"/>
      <c r="CR156" s="76">
        <f t="shared" si="221"/>
        <v>19.931851980060003</v>
      </c>
      <c r="CT156" s="76">
        <f t="shared" si="233"/>
        <v>15.403</v>
      </c>
    </row>
    <row r="157" spans="1:98" s="4" customFormat="1" ht="15" customHeight="1" x14ac:dyDescent="0.2">
      <c r="A157" s="392"/>
      <c r="B157" s="395"/>
      <c r="C157" s="234" t="s">
        <v>498</v>
      </c>
      <c r="D157" s="220" t="s">
        <v>215</v>
      </c>
      <c r="E157" s="205" t="s">
        <v>10</v>
      </c>
      <c r="F157" s="323"/>
      <c r="G157" s="1"/>
      <c r="H157" s="43"/>
      <c r="I157" s="24"/>
      <c r="J157" s="24"/>
      <c r="K157" s="24"/>
      <c r="L157" s="25"/>
      <c r="M157" s="82"/>
      <c r="N157" s="246"/>
      <c r="O157" s="245">
        <f>SUM(H157:L157)</f>
        <v>0</v>
      </c>
      <c r="P157" s="380"/>
      <c r="Q157" s="377"/>
      <c r="R157" s="377"/>
      <c r="S157" s="377"/>
      <c r="T157" s="377"/>
      <c r="U157" s="377"/>
      <c r="V157" s="374"/>
      <c r="W157" s="245">
        <f t="shared" si="211"/>
        <v>0</v>
      </c>
      <c r="X157" s="1"/>
      <c r="Y157" s="43"/>
      <c r="Z157" s="24"/>
      <c r="AA157" s="24"/>
      <c r="AB157" s="24"/>
      <c r="AC157" s="25"/>
      <c r="AD157" s="82"/>
      <c r="AE157" s="246"/>
      <c r="AF157" s="245">
        <f>SUM(Y157:AC157)</f>
        <v>0</v>
      </c>
      <c r="AG157" s="380"/>
      <c r="AH157" s="377"/>
      <c r="AI157" s="377"/>
      <c r="AJ157" s="377"/>
      <c r="AK157" s="377"/>
      <c r="AL157" s="377"/>
      <c r="AM157" s="374"/>
      <c r="AN157" s="245">
        <f t="shared" si="213"/>
        <v>0</v>
      </c>
      <c r="AO157" s="1"/>
      <c r="AP157" s="43"/>
      <c r="AQ157" s="24"/>
      <c r="AR157" s="24"/>
      <c r="AS157" s="24"/>
      <c r="AT157" s="25"/>
      <c r="AU157" s="82"/>
      <c r="AV157" s="246"/>
      <c r="AW157" s="245">
        <f>SUM(AP157:AT157)</f>
        <v>0</v>
      </c>
      <c r="AX157" s="380"/>
      <c r="AY157" s="377"/>
      <c r="AZ157" s="377"/>
      <c r="BA157" s="377"/>
      <c r="BB157" s="377"/>
      <c r="BC157" s="377"/>
      <c r="BD157" s="374"/>
      <c r="BE157" s="245">
        <f t="shared" si="215"/>
        <v>0</v>
      </c>
      <c r="BF157" s="1"/>
      <c r="BG157" s="43"/>
      <c r="BH157" s="24"/>
      <c r="BI157" s="24"/>
      <c r="BJ157" s="24"/>
      <c r="BK157" s="25"/>
      <c r="BL157" s="82"/>
      <c r="BM157" s="246"/>
      <c r="BN157" s="245">
        <f>SUM(BG157:BK157)</f>
        <v>0</v>
      </c>
      <c r="BO157" s="380"/>
      <c r="BP157" s="377"/>
      <c r="BQ157" s="377"/>
      <c r="BR157" s="377"/>
      <c r="BS157" s="377"/>
      <c r="BT157" s="377"/>
      <c r="BU157" s="374"/>
      <c r="BV157" s="245">
        <f t="shared" si="217"/>
        <v>0</v>
      </c>
      <c r="BW157" s="1"/>
      <c r="BX157" s="43"/>
      <c r="BY157" s="24"/>
      <c r="BZ157" s="24"/>
      <c r="CA157" s="24"/>
      <c r="CB157" s="25"/>
      <c r="CC157" s="82"/>
      <c r="CD157" s="246"/>
      <c r="CE157" s="245">
        <f>SUM(BX157:CB157)</f>
        <v>0</v>
      </c>
      <c r="CF157" s="380"/>
      <c r="CG157" s="377"/>
      <c r="CH157" s="377"/>
      <c r="CI157" s="377"/>
      <c r="CJ157" s="377"/>
      <c r="CK157" s="377"/>
      <c r="CL157" s="374"/>
      <c r="CM157" s="245">
        <f t="shared" si="219"/>
        <v>0</v>
      </c>
      <c r="CN157" s="39"/>
      <c r="CO157" s="3"/>
      <c r="CP157" s="75">
        <f t="shared" si="220"/>
        <v>0</v>
      </c>
      <c r="CQ157" s="55"/>
      <c r="CR157" s="76">
        <f t="shared" si="221"/>
        <v>0</v>
      </c>
      <c r="CT157" s="76">
        <f t="shared" si="233"/>
        <v>0</v>
      </c>
    </row>
    <row r="158" spans="1:98" ht="15" customHeight="1" thickBot="1" x14ac:dyDescent="0.25">
      <c r="A158" s="393"/>
      <c r="B158" s="223"/>
      <c r="C158" s="224"/>
      <c r="D158" s="225" t="s">
        <v>22</v>
      </c>
      <c r="E158" s="224"/>
      <c r="F158" s="325"/>
      <c r="H158" s="141"/>
      <c r="I158" s="142"/>
      <c r="J158" s="142"/>
      <c r="K158" s="142"/>
      <c r="L158" s="142"/>
      <c r="M158" s="227"/>
      <c r="N158" s="228"/>
      <c r="O158" s="229">
        <f>SUM(O130:O157)</f>
        <v>0</v>
      </c>
      <c r="P158" s="230"/>
      <c r="Q158" s="230"/>
      <c r="R158" s="230"/>
      <c r="S158" s="230"/>
      <c r="T158" s="230"/>
      <c r="U158" s="230"/>
      <c r="V158" s="228"/>
      <c r="W158" s="229">
        <f>SUM(W130:W157)</f>
        <v>0</v>
      </c>
      <c r="Y158" s="141"/>
      <c r="Z158" s="142"/>
      <c r="AA158" s="142"/>
      <c r="AB158" s="142"/>
      <c r="AC158" s="142"/>
      <c r="AD158" s="227"/>
      <c r="AE158" s="228"/>
      <c r="AF158" s="229">
        <f>SUM(AF130:AF157)</f>
        <v>129.55765676889192</v>
      </c>
      <c r="AG158" s="230"/>
      <c r="AH158" s="230"/>
      <c r="AI158" s="230"/>
      <c r="AJ158" s="230"/>
      <c r="AK158" s="230"/>
      <c r="AL158" s="230"/>
      <c r="AM158" s="228"/>
      <c r="AN158" s="229">
        <f>SUM(AN130:AN157)</f>
        <v>167.65071983386176</v>
      </c>
      <c r="AP158" s="141"/>
      <c r="AQ158" s="142"/>
      <c r="AR158" s="142"/>
      <c r="AS158" s="142"/>
      <c r="AT158" s="142"/>
      <c r="AU158" s="227"/>
      <c r="AV158" s="228"/>
      <c r="AW158" s="229">
        <f>SUM(AW130:AW157)</f>
        <v>0</v>
      </c>
      <c r="AX158" s="230"/>
      <c r="AY158" s="230"/>
      <c r="AZ158" s="230"/>
      <c r="BA158" s="230"/>
      <c r="BB158" s="230"/>
      <c r="BC158" s="230"/>
      <c r="BD158" s="228"/>
      <c r="BE158" s="229">
        <f>SUM(BE130:BE157)</f>
        <v>0</v>
      </c>
      <c r="BG158" s="141"/>
      <c r="BH158" s="142"/>
      <c r="BI158" s="142"/>
      <c r="BJ158" s="142"/>
      <c r="BK158" s="142"/>
      <c r="BL158" s="227"/>
      <c r="BM158" s="228"/>
      <c r="BN158" s="229">
        <f>SUM(BN130:BN157)</f>
        <v>0</v>
      </c>
      <c r="BO158" s="230"/>
      <c r="BP158" s="230"/>
      <c r="BQ158" s="230"/>
      <c r="BR158" s="230"/>
      <c r="BS158" s="230"/>
      <c r="BT158" s="230"/>
      <c r="BU158" s="228"/>
      <c r="BV158" s="229">
        <f>SUM(BV130:BV157)</f>
        <v>0</v>
      </c>
      <c r="BX158" s="141"/>
      <c r="BY158" s="142"/>
      <c r="BZ158" s="142"/>
      <c r="CA158" s="142"/>
      <c r="CB158" s="142"/>
      <c r="CC158" s="227"/>
      <c r="CD158" s="228"/>
      <c r="CE158" s="229">
        <f>SUM(CE130:CE157)</f>
        <v>0</v>
      </c>
      <c r="CF158" s="230"/>
      <c r="CG158" s="230"/>
      <c r="CH158" s="230"/>
      <c r="CI158" s="230"/>
      <c r="CJ158" s="230"/>
      <c r="CK158" s="230"/>
      <c r="CL158" s="228"/>
      <c r="CM158" s="229">
        <f>SUM(CM130:CM157)</f>
        <v>0</v>
      </c>
      <c r="CN158" s="39"/>
      <c r="CO158" s="3"/>
      <c r="CP158" s="217">
        <f>SUM(CP130:CP157)</f>
        <v>129.55765676889192</v>
      </c>
      <c r="CQ158" s="3"/>
      <c r="CR158" s="217">
        <f>SUM(CR130:CR157)</f>
        <v>167.65071983386176</v>
      </c>
      <c r="CT158" s="217"/>
    </row>
    <row r="159" spans="1:98" ht="15" customHeight="1" x14ac:dyDescent="0.2">
      <c r="A159" s="391" t="s">
        <v>37</v>
      </c>
      <c r="B159" s="422" t="s">
        <v>224</v>
      </c>
      <c r="C159" s="236" t="s">
        <v>244</v>
      </c>
      <c r="D159" s="250" t="s">
        <v>358</v>
      </c>
      <c r="E159" s="236" t="s">
        <v>4</v>
      </c>
      <c r="F159" s="304">
        <f>F1*(7.5*(1.014*1.012*1.015)*1.1/1.12)*1.028</f>
        <v>8.0723762743016234</v>
      </c>
      <c r="H159" s="41"/>
      <c r="I159" s="46"/>
      <c r="J159" s="46"/>
      <c r="K159" s="46"/>
      <c r="L159" s="47"/>
      <c r="M159" s="92">
        <f>SUM(H159:L159)</f>
        <v>0</v>
      </c>
      <c r="N159" s="193">
        <v>1</v>
      </c>
      <c r="O159" s="238">
        <f>$F159*M159*N159</f>
        <v>0</v>
      </c>
      <c r="P159" s="378">
        <f>VLOOKUP(P5,'Databaze rizik'!$K$2:$Z$6,10,FALSE)/100+1</f>
        <v>1.08</v>
      </c>
      <c r="Q159" s="375">
        <f>VLOOKUP(Q5,'Databaze rizik'!$K$21:$Z$25,10,FALSE)/100+1</f>
        <v>1.0900000000000001</v>
      </c>
      <c r="R159" s="375">
        <f>VLOOKUP(R5,'Databaze rizik'!$K$41:$Z$45,10,FALSE)/100+1</f>
        <v>1</v>
      </c>
      <c r="S159" s="375">
        <f>VLOOKUP(S5,'Databaze rizik'!$K$61:$Z$66,10,FALSE)/100+1</f>
        <v>1.02</v>
      </c>
      <c r="T159" s="375">
        <f>VLOOKUP(T5,'Databaze rizik'!$K$81:$Z$85,10,FALSE)/100+1</f>
        <v>1.01</v>
      </c>
      <c r="U159" s="375">
        <f>VLOOKUP(U5,'Databaze rizik'!$K$101:$Z$105,10,FALSE)/100+1</f>
        <v>1</v>
      </c>
      <c r="V159" s="372">
        <f t="shared" ref="V159" si="237">P159*Q159*R159*S159*T159*U159</f>
        <v>1.2127514400000003</v>
      </c>
      <c r="W159" s="238">
        <f t="shared" ref="W159:W164" si="238">O159*V$159</f>
        <v>0</v>
      </c>
      <c r="Y159" s="41"/>
      <c r="Z159" s="46"/>
      <c r="AA159" s="46"/>
      <c r="AB159" s="46"/>
      <c r="AC159" s="47"/>
      <c r="AD159" s="92">
        <f>SUM(Y159:AC159)</f>
        <v>0</v>
      </c>
      <c r="AE159" s="193">
        <v>1</v>
      </c>
      <c r="AF159" s="238">
        <f>$F159*AD159*AE159</f>
        <v>0</v>
      </c>
      <c r="AG159" s="378">
        <f>VLOOKUP(AG5,'Databaze rizik'!$K$2:$Z$6,10,FALSE)/100+1</f>
        <v>1.08</v>
      </c>
      <c r="AH159" s="375">
        <f>VLOOKUP(AH5,'Databaze rizik'!$K$21:$Z$25,10,FALSE)/100+1</f>
        <v>1.0900000000000001</v>
      </c>
      <c r="AI159" s="375">
        <f>VLOOKUP(AI5,'Databaze rizik'!$K$41:$Z$45,10,FALSE)/100+1</f>
        <v>1</v>
      </c>
      <c r="AJ159" s="375">
        <f>VLOOKUP(AJ5,'Databaze rizik'!$K$61:$Z$66,10,FALSE)/100+1</f>
        <v>1.02</v>
      </c>
      <c r="AK159" s="375">
        <f>VLOOKUP(AK5,'Databaze rizik'!$K$81:$Z$85,10,FALSE)/100+1</f>
        <v>1.01</v>
      </c>
      <c r="AL159" s="375">
        <f>VLOOKUP(AL5,'Databaze rizik'!$K$101:$Z$105,10,FALSE)/100+1</f>
        <v>1</v>
      </c>
      <c r="AM159" s="372">
        <f t="shared" ref="AM159" si="239">AG159*AH159*AI159*AJ159*AK159*AL159</f>
        <v>1.2127514400000003</v>
      </c>
      <c r="AN159" s="238">
        <f t="shared" ref="AN159:AN164" si="240">AF159*AM$159</f>
        <v>0</v>
      </c>
      <c r="AP159" s="41"/>
      <c r="AQ159" s="46"/>
      <c r="AR159" s="46"/>
      <c r="AS159" s="46"/>
      <c r="AT159" s="47"/>
      <c r="AU159" s="92">
        <f>SUM(AP159:AT159)</f>
        <v>0</v>
      </c>
      <c r="AV159" s="193">
        <v>1</v>
      </c>
      <c r="AW159" s="238">
        <f>$F159*AU159*AV159</f>
        <v>0</v>
      </c>
      <c r="AX159" s="378">
        <f>VLOOKUP(AX5,'Databaze rizik'!$K$2:$Z$6,10,FALSE)/100+1</f>
        <v>1.08</v>
      </c>
      <c r="AY159" s="375">
        <f>VLOOKUP(AY5,'Databaze rizik'!$K$21:$Z$25,10,FALSE)/100+1</f>
        <v>1.0900000000000001</v>
      </c>
      <c r="AZ159" s="375">
        <f>VLOOKUP(AZ5,'Databaze rizik'!$K$41:$Z$45,10,FALSE)/100+1</f>
        <v>1</v>
      </c>
      <c r="BA159" s="375">
        <f>VLOOKUP(BA5,'Databaze rizik'!$K$61:$Z$66,10,FALSE)/100+1</f>
        <v>1.02</v>
      </c>
      <c r="BB159" s="375">
        <f>VLOOKUP(BB5,'Databaze rizik'!$K$81:$Z$85,10,FALSE)/100+1</f>
        <v>1.01</v>
      </c>
      <c r="BC159" s="375">
        <f>VLOOKUP(BC5,'Databaze rizik'!$K$101:$Z$105,10,FALSE)/100+1</f>
        <v>1</v>
      </c>
      <c r="BD159" s="372">
        <f t="shared" ref="BD159" si="241">AX159*AY159*AZ159*BA159*BB159*BC159</f>
        <v>1.2127514400000003</v>
      </c>
      <c r="BE159" s="238">
        <f t="shared" ref="BE159:BE164" si="242">AW159*BD$159</f>
        <v>0</v>
      </c>
      <c r="BG159" s="41"/>
      <c r="BH159" s="46"/>
      <c r="BI159" s="46"/>
      <c r="BJ159" s="46"/>
      <c r="BK159" s="47"/>
      <c r="BL159" s="92">
        <f>SUM(BG159:BK159)</f>
        <v>0</v>
      </c>
      <c r="BM159" s="193">
        <v>1</v>
      </c>
      <c r="BN159" s="238">
        <f>$F159*BL159*BM159</f>
        <v>0</v>
      </c>
      <c r="BO159" s="378">
        <f>VLOOKUP(BO5,'Databaze rizik'!$K$2:$Z$6,10,FALSE)/100+1</f>
        <v>1</v>
      </c>
      <c r="BP159" s="375">
        <f>VLOOKUP(BP5,'Databaze rizik'!$K$21:$Z$25,10,FALSE)/100+1</f>
        <v>1</v>
      </c>
      <c r="BQ159" s="375">
        <f>VLOOKUP(BQ5,'Databaze rizik'!$K$41:$Z$45,10,FALSE)/100+1</f>
        <v>1</v>
      </c>
      <c r="BR159" s="375">
        <f>VLOOKUP(BR5,'Databaze rizik'!$K$61:$Z$66,10,FALSE)/100+1</f>
        <v>1.02</v>
      </c>
      <c r="BS159" s="375">
        <f>VLOOKUP(BS5,'Databaze rizik'!$K$81:$Z$85,10,FALSE)/100+1</f>
        <v>1.01</v>
      </c>
      <c r="BT159" s="375">
        <f>VLOOKUP(BT5,'Databaze rizik'!$K$101:$Z$105,10,FALSE)/100+1</f>
        <v>1</v>
      </c>
      <c r="BU159" s="372">
        <f t="shared" ref="BU159" si="243">BO159*BP159*BQ159*BR159*BS159*BT159</f>
        <v>1.0302</v>
      </c>
      <c r="BV159" s="238">
        <f t="shared" ref="BV159:BV164" si="244">BN159*BU$159</f>
        <v>0</v>
      </c>
      <c r="BX159" s="41"/>
      <c r="BY159" s="46"/>
      <c r="BZ159" s="46"/>
      <c r="CA159" s="46"/>
      <c r="CB159" s="47"/>
      <c r="CC159" s="92">
        <f>SUM(BX159:CB159)</f>
        <v>0</v>
      </c>
      <c r="CD159" s="193">
        <v>1</v>
      </c>
      <c r="CE159" s="238">
        <f>$F159*CC159*CD159</f>
        <v>0</v>
      </c>
      <c r="CF159" s="378">
        <f>VLOOKUP(CF5,'Databaze rizik'!$K$2:$Z$6,10,FALSE)/100+1</f>
        <v>1</v>
      </c>
      <c r="CG159" s="375">
        <f>VLOOKUP(CG5,'Databaze rizik'!$K$21:$Z$25,10,FALSE)/100+1</f>
        <v>1</v>
      </c>
      <c r="CH159" s="375">
        <f>VLOOKUP(CH5,'Databaze rizik'!$K$41:$Z$45,10,FALSE)/100+1</f>
        <v>1</v>
      </c>
      <c r="CI159" s="375">
        <f>VLOOKUP(CI5,'Databaze rizik'!$K$61:$Z$66,10,FALSE)/100+1</f>
        <v>1.02</v>
      </c>
      <c r="CJ159" s="375">
        <f>VLOOKUP(CJ5,'Databaze rizik'!$K$81:$Z$85,10,FALSE)/100+1</f>
        <v>1.01</v>
      </c>
      <c r="CK159" s="375">
        <f>VLOOKUP(CK5,'Databaze rizik'!$K$101:$Z$105,10,FALSE)/100+1</f>
        <v>1</v>
      </c>
      <c r="CL159" s="372">
        <f t="shared" ref="CL159" si="245">CF159*CG159*CH159*CI159*CJ159*CK159</f>
        <v>1.0302</v>
      </c>
      <c r="CM159" s="238">
        <f t="shared" ref="CM159:CM164" si="246">CE159*CL$159</f>
        <v>0</v>
      </c>
      <c r="CN159" s="39"/>
      <c r="CO159" s="55"/>
      <c r="CP159" s="75">
        <f t="shared" ref="CP159:CP164" si="247">SUMIF(H$1:CM$1,1,H159:CM159)</f>
        <v>0</v>
      </c>
      <c r="CQ159" s="3"/>
      <c r="CR159" s="77">
        <f t="shared" ref="CR159:CR164" si="248">SUMIF(H$1:CM$1,2,H159:CM159)</f>
        <v>0</v>
      </c>
      <c r="CT159" s="77">
        <f t="shared" si="233"/>
        <v>0</v>
      </c>
    </row>
    <row r="160" spans="1:98" ht="15" customHeight="1" x14ac:dyDescent="0.2">
      <c r="A160" s="392"/>
      <c r="B160" s="424"/>
      <c r="C160" s="253" t="s">
        <v>245</v>
      </c>
      <c r="D160" s="254" t="s">
        <v>359</v>
      </c>
      <c r="E160" s="253" t="s">
        <v>4</v>
      </c>
      <c r="F160" s="303">
        <f>F1*(1.2*(1.014*1.012*1.015)*1.1/1.12)*1.028</f>
        <v>1.2915802038882598</v>
      </c>
      <c r="H160" s="43"/>
      <c r="I160" s="24"/>
      <c r="J160" s="24"/>
      <c r="K160" s="24"/>
      <c r="L160" s="25"/>
      <c r="M160" s="82">
        <f>SUM(H160:L160)</f>
        <v>0</v>
      </c>
      <c r="N160" s="198">
        <v>1</v>
      </c>
      <c r="O160" s="245">
        <f>$F160*M160*N160</f>
        <v>0</v>
      </c>
      <c r="P160" s="379"/>
      <c r="Q160" s="376"/>
      <c r="R160" s="376"/>
      <c r="S160" s="376"/>
      <c r="T160" s="376"/>
      <c r="U160" s="376"/>
      <c r="V160" s="373"/>
      <c r="W160" s="245">
        <f t="shared" si="238"/>
        <v>0</v>
      </c>
      <c r="Y160" s="365">
        <v>1.804000000000002</v>
      </c>
      <c r="Z160" s="24"/>
      <c r="AA160" s="24"/>
      <c r="AB160" s="24"/>
      <c r="AC160" s="25"/>
      <c r="AD160" s="82">
        <f>SUM(Y160:AC160)</f>
        <v>1.804000000000002</v>
      </c>
      <c r="AE160" s="198">
        <v>1</v>
      </c>
      <c r="AF160" s="245">
        <f>$F160*AD160*AE160</f>
        <v>2.3300106878144233</v>
      </c>
      <c r="AG160" s="379"/>
      <c r="AH160" s="376"/>
      <c r="AI160" s="376"/>
      <c r="AJ160" s="376"/>
      <c r="AK160" s="376"/>
      <c r="AL160" s="376"/>
      <c r="AM160" s="373"/>
      <c r="AN160" s="245">
        <f t="shared" si="240"/>
        <v>2.8257238168623333</v>
      </c>
      <c r="AP160" s="43"/>
      <c r="AQ160" s="24"/>
      <c r="AR160" s="24"/>
      <c r="AS160" s="24"/>
      <c r="AT160" s="25"/>
      <c r="AU160" s="82">
        <f>SUM(AP160:AT160)</f>
        <v>0</v>
      </c>
      <c r="AV160" s="198">
        <v>1</v>
      </c>
      <c r="AW160" s="245">
        <f>$F160*AU160*AV160</f>
        <v>0</v>
      </c>
      <c r="AX160" s="379"/>
      <c r="AY160" s="376"/>
      <c r="AZ160" s="376"/>
      <c r="BA160" s="376"/>
      <c r="BB160" s="376"/>
      <c r="BC160" s="376"/>
      <c r="BD160" s="373"/>
      <c r="BE160" s="245">
        <f t="shared" si="242"/>
        <v>0</v>
      </c>
      <c r="BG160" s="43"/>
      <c r="BH160" s="24"/>
      <c r="BI160" s="24"/>
      <c r="BJ160" s="24"/>
      <c r="BK160" s="25"/>
      <c r="BL160" s="82">
        <f>SUM(BG160:BK160)</f>
        <v>0</v>
      </c>
      <c r="BM160" s="198">
        <v>1</v>
      </c>
      <c r="BN160" s="245">
        <f>$F160*BL160*BM160</f>
        <v>0</v>
      </c>
      <c r="BO160" s="379"/>
      <c r="BP160" s="376"/>
      <c r="BQ160" s="376"/>
      <c r="BR160" s="376"/>
      <c r="BS160" s="376"/>
      <c r="BT160" s="376"/>
      <c r="BU160" s="373"/>
      <c r="BV160" s="245">
        <f t="shared" si="244"/>
        <v>0</v>
      </c>
      <c r="BX160" s="43"/>
      <c r="BY160" s="24"/>
      <c r="BZ160" s="24"/>
      <c r="CA160" s="24"/>
      <c r="CB160" s="25"/>
      <c r="CC160" s="82">
        <f>SUM(BX160:CB160)</f>
        <v>0</v>
      </c>
      <c r="CD160" s="198">
        <v>1</v>
      </c>
      <c r="CE160" s="245">
        <f>$F160*CC160*CD160</f>
        <v>0</v>
      </c>
      <c r="CF160" s="379"/>
      <c r="CG160" s="376"/>
      <c r="CH160" s="376"/>
      <c r="CI160" s="376"/>
      <c r="CJ160" s="376"/>
      <c r="CK160" s="376"/>
      <c r="CL160" s="373"/>
      <c r="CM160" s="245">
        <f t="shared" si="246"/>
        <v>0</v>
      </c>
      <c r="CN160" s="39"/>
      <c r="CO160" s="55"/>
      <c r="CP160" s="75">
        <f t="shared" si="247"/>
        <v>2.3300106878144233</v>
      </c>
      <c r="CQ160" s="3"/>
      <c r="CR160" s="76">
        <f t="shared" si="248"/>
        <v>2.8257238168623333</v>
      </c>
      <c r="CT160" s="76">
        <f t="shared" si="233"/>
        <v>1.804000000000002</v>
      </c>
    </row>
    <row r="161" spans="1:98" ht="15" customHeight="1" x14ac:dyDescent="0.2">
      <c r="A161" s="392"/>
      <c r="B161" s="394" t="s">
        <v>41</v>
      </c>
      <c r="C161" s="234" t="s">
        <v>246</v>
      </c>
      <c r="D161" s="201" t="s">
        <v>357</v>
      </c>
      <c r="E161" s="202"/>
      <c r="F161" s="322"/>
      <c r="H161" s="43"/>
      <c r="I161" s="24"/>
      <c r="J161" s="24"/>
      <c r="K161" s="24"/>
      <c r="L161" s="25"/>
      <c r="M161" s="82">
        <f>SUM(H161:L161)</f>
        <v>0</v>
      </c>
      <c r="N161" s="198">
        <v>1</v>
      </c>
      <c r="O161" s="245">
        <f>$F161*M161*N161</f>
        <v>0</v>
      </c>
      <c r="P161" s="379"/>
      <c r="Q161" s="376"/>
      <c r="R161" s="376"/>
      <c r="S161" s="376"/>
      <c r="T161" s="376"/>
      <c r="U161" s="376"/>
      <c r="V161" s="373"/>
      <c r="W161" s="245">
        <f t="shared" si="238"/>
        <v>0</v>
      </c>
      <c r="Y161" s="43"/>
      <c r="Z161" s="24"/>
      <c r="AA161" s="24"/>
      <c r="AB161" s="24"/>
      <c r="AC161" s="25"/>
      <c r="AD161" s="82">
        <f>SUM(Y161:AC161)</f>
        <v>0</v>
      </c>
      <c r="AE161" s="198">
        <v>1</v>
      </c>
      <c r="AF161" s="245">
        <f>$F161*AD161*AE161</f>
        <v>0</v>
      </c>
      <c r="AG161" s="379"/>
      <c r="AH161" s="376"/>
      <c r="AI161" s="376"/>
      <c r="AJ161" s="376"/>
      <c r="AK161" s="376"/>
      <c r="AL161" s="376"/>
      <c r="AM161" s="373"/>
      <c r="AN161" s="245">
        <f t="shared" si="240"/>
        <v>0</v>
      </c>
      <c r="AP161" s="43"/>
      <c r="AQ161" s="24"/>
      <c r="AR161" s="24"/>
      <c r="AS161" s="24"/>
      <c r="AT161" s="25"/>
      <c r="AU161" s="82">
        <f>SUM(AP161:AT161)</f>
        <v>0</v>
      </c>
      <c r="AV161" s="198">
        <v>1</v>
      </c>
      <c r="AW161" s="245">
        <f>$F161*AU161*AV161</f>
        <v>0</v>
      </c>
      <c r="AX161" s="379"/>
      <c r="AY161" s="376"/>
      <c r="AZ161" s="376"/>
      <c r="BA161" s="376"/>
      <c r="BB161" s="376"/>
      <c r="BC161" s="376"/>
      <c r="BD161" s="373"/>
      <c r="BE161" s="245">
        <f t="shared" si="242"/>
        <v>0</v>
      </c>
      <c r="BG161" s="43"/>
      <c r="BH161" s="24"/>
      <c r="BI161" s="24"/>
      <c r="BJ161" s="24"/>
      <c r="BK161" s="25"/>
      <c r="BL161" s="82">
        <f>SUM(BG161:BK161)</f>
        <v>0</v>
      </c>
      <c r="BM161" s="198">
        <v>1</v>
      </c>
      <c r="BN161" s="245">
        <f>$F161*BL161*BM161</f>
        <v>0</v>
      </c>
      <c r="BO161" s="379"/>
      <c r="BP161" s="376"/>
      <c r="BQ161" s="376"/>
      <c r="BR161" s="376"/>
      <c r="BS161" s="376"/>
      <c r="BT161" s="376"/>
      <c r="BU161" s="373"/>
      <c r="BV161" s="245">
        <f t="shared" si="244"/>
        <v>0</v>
      </c>
      <c r="BX161" s="43"/>
      <c r="BY161" s="24"/>
      <c r="BZ161" s="24"/>
      <c r="CA161" s="24"/>
      <c r="CB161" s="25"/>
      <c r="CC161" s="82">
        <f>SUM(BX161:CB161)</f>
        <v>0</v>
      </c>
      <c r="CD161" s="198">
        <v>1</v>
      </c>
      <c r="CE161" s="245">
        <f>$F161*CC161*CD161</f>
        <v>0</v>
      </c>
      <c r="CF161" s="379"/>
      <c r="CG161" s="376"/>
      <c r="CH161" s="376"/>
      <c r="CI161" s="376"/>
      <c r="CJ161" s="376"/>
      <c r="CK161" s="376"/>
      <c r="CL161" s="373"/>
      <c r="CM161" s="245">
        <f t="shared" si="246"/>
        <v>0</v>
      </c>
      <c r="CN161" s="39"/>
      <c r="CO161" s="55"/>
      <c r="CP161" s="75">
        <f t="shared" si="247"/>
        <v>0</v>
      </c>
      <c r="CQ161" s="3"/>
      <c r="CR161" s="76">
        <f t="shared" si="248"/>
        <v>0</v>
      </c>
      <c r="CT161" s="76">
        <f t="shared" si="233"/>
        <v>0</v>
      </c>
    </row>
    <row r="162" spans="1:98" ht="15" customHeight="1" x14ac:dyDescent="0.2">
      <c r="A162" s="392"/>
      <c r="B162" s="395"/>
      <c r="C162" s="234" t="s">
        <v>247</v>
      </c>
      <c r="D162" s="201" t="s">
        <v>357</v>
      </c>
      <c r="E162" s="202"/>
      <c r="F162" s="322"/>
      <c r="H162" s="43"/>
      <c r="I162" s="24"/>
      <c r="J162" s="24"/>
      <c r="K162" s="24"/>
      <c r="L162" s="25"/>
      <c r="M162" s="82">
        <f>SUM(H162:L162)</f>
        <v>0</v>
      </c>
      <c r="N162" s="198">
        <v>1</v>
      </c>
      <c r="O162" s="245">
        <f>$F162*M162*N162</f>
        <v>0</v>
      </c>
      <c r="P162" s="379"/>
      <c r="Q162" s="376"/>
      <c r="R162" s="376"/>
      <c r="S162" s="376"/>
      <c r="T162" s="376"/>
      <c r="U162" s="376"/>
      <c r="V162" s="373"/>
      <c r="W162" s="245">
        <f t="shared" si="238"/>
        <v>0</v>
      </c>
      <c r="Y162" s="43"/>
      <c r="Z162" s="24"/>
      <c r="AA162" s="24"/>
      <c r="AB162" s="24"/>
      <c r="AC162" s="25"/>
      <c r="AD162" s="82">
        <f>SUM(Y162:AC162)</f>
        <v>0</v>
      </c>
      <c r="AE162" s="198">
        <v>1</v>
      </c>
      <c r="AF162" s="245">
        <f>$F162*AD162*AE162</f>
        <v>0</v>
      </c>
      <c r="AG162" s="379"/>
      <c r="AH162" s="376"/>
      <c r="AI162" s="376"/>
      <c r="AJ162" s="376"/>
      <c r="AK162" s="376"/>
      <c r="AL162" s="376"/>
      <c r="AM162" s="373"/>
      <c r="AN162" s="245">
        <f t="shared" si="240"/>
        <v>0</v>
      </c>
      <c r="AP162" s="43"/>
      <c r="AQ162" s="24"/>
      <c r="AR162" s="24"/>
      <c r="AS162" s="24"/>
      <c r="AT162" s="25"/>
      <c r="AU162" s="82">
        <f>SUM(AP162:AT162)</f>
        <v>0</v>
      </c>
      <c r="AV162" s="198">
        <v>1</v>
      </c>
      <c r="AW162" s="245">
        <f>$F162*AU162*AV162</f>
        <v>0</v>
      </c>
      <c r="AX162" s="379"/>
      <c r="AY162" s="376"/>
      <c r="AZ162" s="376"/>
      <c r="BA162" s="376"/>
      <c r="BB162" s="376"/>
      <c r="BC162" s="376"/>
      <c r="BD162" s="373"/>
      <c r="BE162" s="245">
        <f t="shared" si="242"/>
        <v>0</v>
      </c>
      <c r="BG162" s="43"/>
      <c r="BH162" s="24"/>
      <c r="BI162" s="24"/>
      <c r="BJ162" s="24"/>
      <c r="BK162" s="25"/>
      <c r="BL162" s="82">
        <f>SUM(BG162:BK162)</f>
        <v>0</v>
      </c>
      <c r="BM162" s="198">
        <v>1</v>
      </c>
      <c r="BN162" s="245">
        <f>$F162*BL162*BM162</f>
        <v>0</v>
      </c>
      <c r="BO162" s="379"/>
      <c r="BP162" s="376"/>
      <c r="BQ162" s="376"/>
      <c r="BR162" s="376"/>
      <c r="BS162" s="376"/>
      <c r="BT162" s="376"/>
      <c r="BU162" s="373"/>
      <c r="BV162" s="245">
        <f t="shared" si="244"/>
        <v>0</v>
      </c>
      <c r="BX162" s="43"/>
      <c r="BY162" s="24"/>
      <c r="BZ162" s="24"/>
      <c r="CA162" s="24"/>
      <c r="CB162" s="25"/>
      <c r="CC162" s="82">
        <f>SUM(BX162:CB162)</f>
        <v>0</v>
      </c>
      <c r="CD162" s="198">
        <v>1</v>
      </c>
      <c r="CE162" s="245">
        <f>$F162*CC162*CD162</f>
        <v>0</v>
      </c>
      <c r="CF162" s="379"/>
      <c r="CG162" s="376"/>
      <c r="CH162" s="376"/>
      <c r="CI162" s="376"/>
      <c r="CJ162" s="376"/>
      <c r="CK162" s="376"/>
      <c r="CL162" s="373"/>
      <c r="CM162" s="245">
        <f t="shared" si="246"/>
        <v>0</v>
      </c>
      <c r="CN162" s="39"/>
      <c r="CO162" s="55"/>
      <c r="CP162" s="75">
        <f t="shared" si="247"/>
        <v>0</v>
      </c>
      <c r="CQ162" s="3"/>
      <c r="CR162" s="76">
        <f t="shared" si="248"/>
        <v>0</v>
      </c>
      <c r="CT162" s="76">
        <f t="shared" si="233"/>
        <v>0</v>
      </c>
    </row>
    <row r="163" spans="1:98" ht="15" customHeight="1" x14ac:dyDescent="0.2">
      <c r="A163" s="392"/>
      <c r="B163" s="395"/>
      <c r="C163" s="234" t="s">
        <v>248</v>
      </c>
      <c r="D163" s="204" t="s">
        <v>215</v>
      </c>
      <c r="E163" s="205" t="s">
        <v>10</v>
      </c>
      <c r="F163" s="323"/>
      <c r="H163" s="43"/>
      <c r="I163" s="24"/>
      <c r="J163" s="24"/>
      <c r="K163" s="24"/>
      <c r="L163" s="25"/>
      <c r="M163" s="82"/>
      <c r="N163" s="246"/>
      <c r="O163" s="245">
        <f>SUM(H163:L163)</f>
        <v>0</v>
      </c>
      <c r="P163" s="379"/>
      <c r="Q163" s="376"/>
      <c r="R163" s="376"/>
      <c r="S163" s="376"/>
      <c r="T163" s="376"/>
      <c r="U163" s="376"/>
      <c r="V163" s="373"/>
      <c r="W163" s="245">
        <f t="shared" si="238"/>
        <v>0</v>
      </c>
      <c r="Y163" s="43"/>
      <c r="Z163" s="24"/>
      <c r="AA163" s="24"/>
      <c r="AB163" s="24"/>
      <c r="AC163" s="25"/>
      <c r="AD163" s="82"/>
      <c r="AE163" s="246"/>
      <c r="AF163" s="245">
        <f>SUM(Y163:AC163)</f>
        <v>0</v>
      </c>
      <c r="AG163" s="379"/>
      <c r="AH163" s="376"/>
      <c r="AI163" s="376"/>
      <c r="AJ163" s="376"/>
      <c r="AK163" s="376"/>
      <c r="AL163" s="376"/>
      <c r="AM163" s="373"/>
      <c r="AN163" s="245">
        <f t="shared" si="240"/>
        <v>0</v>
      </c>
      <c r="AP163" s="43"/>
      <c r="AQ163" s="24"/>
      <c r="AR163" s="24"/>
      <c r="AS163" s="24"/>
      <c r="AT163" s="25"/>
      <c r="AU163" s="82"/>
      <c r="AV163" s="246"/>
      <c r="AW163" s="245">
        <f>SUM(AP163:AT163)</f>
        <v>0</v>
      </c>
      <c r="AX163" s="379"/>
      <c r="AY163" s="376"/>
      <c r="AZ163" s="376"/>
      <c r="BA163" s="376"/>
      <c r="BB163" s="376"/>
      <c r="BC163" s="376"/>
      <c r="BD163" s="373"/>
      <c r="BE163" s="245">
        <f t="shared" si="242"/>
        <v>0</v>
      </c>
      <c r="BG163" s="43"/>
      <c r="BH163" s="24"/>
      <c r="BI163" s="24"/>
      <c r="BJ163" s="24"/>
      <c r="BK163" s="25"/>
      <c r="BL163" s="82"/>
      <c r="BM163" s="246"/>
      <c r="BN163" s="245">
        <f>SUM(BG163:BK163)</f>
        <v>0</v>
      </c>
      <c r="BO163" s="379"/>
      <c r="BP163" s="376"/>
      <c r="BQ163" s="376"/>
      <c r="BR163" s="376"/>
      <c r="BS163" s="376"/>
      <c r="BT163" s="376"/>
      <c r="BU163" s="373"/>
      <c r="BV163" s="245">
        <f t="shared" si="244"/>
        <v>0</v>
      </c>
      <c r="BX163" s="43"/>
      <c r="BY163" s="24"/>
      <c r="BZ163" s="24"/>
      <c r="CA163" s="24"/>
      <c r="CB163" s="25"/>
      <c r="CC163" s="82"/>
      <c r="CD163" s="246"/>
      <c r="CE163" s="245">
        <f>SUM(BX163:CB163)</f>
        <v>0</v>
      </c>
      <c r="CF163" s="379"/>
      <c r="CG163" s="376"/>
      <c r="CH163" s="376"/>
      <c r="CI163" s="376"/>
      <c r="CJ163" s="376"/>
      <c r="CK163" s="376"/>
      <c r="CL163" s="373"/>
      <c r="CM163" s="245">
        <f t="shared" si="246"/>
        <v>0</v>
      </c>
      <c r="CN163" s="39"/>
      <c r="CO163" s="55"/>
      <c r="CP163" s="75">
        <f t="shared" si="247"/>
        <v>0</v>
      </c>
      <c r="CQ163" s="3"/>
      <c r="CR163" s="76">
        <f t="shared" si="248"/>
        <v>0</v>
      </c>
      <c r="CT163" s="76">
        <f t="shared" si="233"/>
        <v>0</v>
      </c>
    </row>
    <row r="164" spans="1:98" ht="15" customHeight="1" x14ac:dyDescent="0.2">
      <c r="A164" s="392"/>
      <c r="B164" s="395"/>
      <c r="C164" s="251" t="s">
        <v>249</v>
      </c>
      <c r="D164" s="208" t="s">
        <v>215</v>
      </c>
      <c r="E164" s="205" t="s">
        <v>10</v>
      </c>
      <c r="F164" s="323"/>
      <c r="H164" s="43"/>
      <c r="I164" s="24"/>
      <c r="J164" s="24"/>
      <c r="K164" s="24"/>
      <c r="L164" s="25"/>
      <c r="M164" s="82"/>
      <c r="N164" s="246"/>
      <c r="O164" s="245">
        <f>SUM(H164:L164)</f>
        <v>0</v>
      </c>
      <c r="P164" s="380"/>
      <c r="Q164" s="377"/>
      <c r="R164" s="377"/>
      <c r="S164" s="377"/>
      <c r="T164" s="377"/>
      <c r="U164" s="377"/>
      <c r="V164" s="374"/>
      <c r="W164" s="245">
        <f t="shared" si="238"/>
        <v>0</v>
      </c>
      <c r="Y164" s="43"/>
      <c r="Z164" s="24"/>
      <c r="AA164" s="24"/>
      <c r="AB164" s="24"/>
      <c r="AC164" s="25"/>
      <c r="AD164" s="82"/>
      <c r="AE164" s="246"/>
      <c r="AF164" s="245">
        <f>SUM(Y164:AC164)</f>
        <v>0</v>
      </c>
      <c r="AG164" s="380"/>
      <c r="AH164" s="377"/>
      <c r="AI164" s="377"/>
      <c r="AJ164" s="377"/>
      <c r="AK164" s="377"/>
      <c r="AL164" s="377"/>
      <c r="AM164" s="374"/>
      <c r="AN164" s="245">
        <f t="shared" si="240"/>
        <v>0</v>
      </c>
      <c r="AP164" s="43"/>
      <c r="AQ164" s="24"/>
      <c r="AR164" s="24"/>
      <c r="AS164" s="24"/>
      <c r="AT164" s="25"/>
      <c r="AU164" s="82"/>
      <c r="AV164" s="246"/>
      <c r="AW164" s="245">
        <f>SUM(AP164:AT164)</f>
        <v>0</v>
      </c>
      <c r="AX164" s="380"/>
      <c r="AY164" s="377"/>
      <c r="AZ164" s="377"/>
      <c r="BA164" s="377"/>
      <c r="BB164" s="377"/>
      <c r="BC164" s="377"/>
      <c r="BD164" s="374"/>
      <c r="BE164" s="245">
        <f t="shared" si="242"/>
        <v>0</v>
      </c>
      <c r="BG164" s="43"/>
      <c r="BH164" s="24"/>
      <c r="BI164" s="24"/>
      <c r="BJ164" s="24"/>
      <c r="BK164" s="25"/>
      <c r="BL164" s="82"/>
      <c r="BM164" s="246"/>
      <c r="BN164" s="245">
        <f>SUM(BG164:BK164)</f>
        <v>0</v>
      </c>
      <c r="BO164" s="380"/>
      <c r="BP164" s="377"/>
      <c r="BQ164" s="377"/>
      <c r="BR164" s="377"/>
      <c r="BS164" s="377"/>
      <c r="BT164" s="377"/>
      <c r="BU164" s="374"/>
      <c r="BV164" s="245">
        <f t="shared" si="244"/>
        <v>0</v>
      </c>
      <c r="BX164" s="43"/>
      <c r="BY164" s="24"/>
      <c r="BZ164" s="24"/>
      <c r="CA164" s="24"/>
      <c r="CB164" s="25"/>
      <c r="CC164" s="82"/>
      <c r="CD164" s="246"/>
      <c r="CE164" s="245">
        <f>SUM(BX164:CB164)</f>
        <v>0</v>
      </c>
      <c r="CF164" s="380"/>
      <c r="CG164" s="377"/>
      <c r="CH164" s="377"/>
      <c r="CI164" s="377"/>
      <c r="CJ164" s="377"/>
      <c r="CK164" s="377"/>
      <c r="CL164" s="374"/>
      <c r="CM164" s="245">
        <f t="shared" si="246"/>
        <v>0</v>
      </c>
      <c r="CN164" s="39"/>
      <c r="CO164" s="3"/>
      <c r="CP164" s="75">
        <f t="shared" si="247"/>
        <v>0</v>
      </c>
      <c r="CQ164" s="3"/>
      <c r="CR164" s="76">
        <f t="shared" si="248"/>
        <v>0</v>
      </c>
      <c r="CT164" s="76">
        <f t="shared" si="233"/>
        <v>0</v>
      </c>
    </row>
    <row r="165" spans="1:98" ht="15" customHeight="1" thickBot="1" x14ac:dyDescent="0.25">
      <c r="A165" s="393"/>
      <c r="B165" s="223"/>
      <c r="C165" s="224"/>
      <c r="D165" s="225" t="s">
        <v>22</v>
      </c>
      <c r="E165" s="224"/>
      <c r="F165" s="325"/>
      <c r="H165" s="141"/>
      <c r="I165" s="142"/>
      <c r="J165" s="142"/>
      <c r="K165" s="142"/>
      <c r="L165" s="142"/>
      <c r="M165" s="227"/>
      <c r="N165" s="228"/>
      <c r="O165" s="229">
        <f>SUM(O159:O164)</f>
        <v>0</v>
      </c>
      <c r="P165" s="230"/>
      <c r="Q165" s="230"/>
      <c r="R165" s="230"/>
      <c r="S165" s="230"/>
      <c r="T165" s="230"/>
      <c r="U165" s="230"/>
      <c r="V165" s="228"/>
      <c r="W165" s="229">
        <f>SUM(W159:W164)</f>
        <v>0</v>
      </c>
      <c r="Y165" s="141"/>
      <c r="Z165" s="142"/>
      <c r="AA165" s="142"/>
      <c r="AB165" s="142"/>
      <c r="AC165" s="142"/>
      <c r="AD165" s="227"/>
      <c r="AE165" s="228"/>
      <c r="AF165" s="229">
        <f>SUM(AF159:AF164)</f>
        <v>2.3300106878144233</v>
      </c>
      <c r="AG165" s="230"/>
      <c r="AH165" s="230"/>
      <c r="AI165" s="230"/>
      <c r="AJ165" s="230"/>
      <c r="AK165" s="230"/>
      <c r="AL165" s="230"/>
      <c r="AM165" s="228"/>
      <c r="AN165" s="229">
        <f>SUM(AN159:AN164)</f>
        <v>2.8257238168623333</v>
      </c>
      <c r="AP165" s="141"/>
      <c r="AQ165" s="142"/>
      <c r="AR165" s="142"/>
      <c r="AS165" s="142"/>
      <c r="AT165" s="142"/>
      <c r="AU165" s="227"/>
      <c r="AV165" s="228"/>
      <c r="AW165" s="229">
        <f>SUM(AW159:AW164)</f>
        <v>0</v>
      </c>
      <c r="AX165" s="230"/>
      <c r="AY165" s="230"/>
      <c r="AZ165" s="230"/>
      <c r="BA165" s="230"/>
      <c r="BB165" s="230"/>
      <c r="BC165" s="230"/>
      <c r="BD165" s="228"/>
      <c r="BE165" s="229">
        <f>SUM(BE159:BE164)</f>
        <v>0</v>
      </c>
      <c r="BG165" s="141"/>
      <c r="BH165" s="142"/>
      <c r="BI165" s="142"/>
      <c r="BJ165" s="142"/>
      <c r="BK165" s="142"/>
      <c r="BL165" s="227"/>
      <c r="BM165" s="228"/>
      <c r="BN165" s="229">
        <f>SUM(BN159:BN164)</f>
        <v>0</v>
      </c>
      <c r="BO165" s="230"/>
      <c r="BP165" s="230"/>
      <c r="BQ165" s="230"/>
      <c r="BR165" s="230"/>
      <c r="BS165" s="230"/>
      <c r="BT165" s="230"/>
      <c r="BU165" s="228"/>
      <c r="BV165" s="229">
        <f>SUM(BV159:BV164)</f>
        <v>0</v>
      </c>
      <c r="BX165" s="141"/>
      <c r="BY165" s="142"/>
      <c r="BZ165" s="142"/>
      <c r="CA165" s="142"/>
      <c r="CB165" s="142"/>
      <c r="CC165" s="227"/>
      <c r="CD165" s="228"/>
      <c r="CE165" s="229">
        <f>SUM(CE159:CE164)</f>
        <v>0</v>
      </c>
      <c r="CF165" s="230"/>
      <c r="CG165" s="230"/>
      <c r="CH165" s="230"/>
      <c r="CI165" s="230"/>
      <c r="CJ165" s="230"/>
      <c r="CK165" s="230"/>
      <c r="CL165" s="228"/>
      <c r="CM165" s="229">
        <f>SUM(CM159:CM164)</f>
        <v>0</v>
      </c>
      <c r="CN165" s="39"/>
      <c r="CO165" s="3"/>
      <c r="CP165" s="217">
        <f>SUM(CP159:CP164)</f>
        <v>2.3300106878144233</v>
      </c>
      <c r="CQ165" s="3"/>
      <c r="CR165" s="217">
        <f>SUM(CR159:CR164)</f>
        <v>2.8257238168623333</v>
      </c>
      <c r="CT165" s="217"/>
    </row>
    <row r="166" spans="1:98" ht="15" customHeight="1" x14ac:dyDescent="0.2">
      <c r="A166" s="391" t="s">
        <v>527</v>
      </c>
      <c r="B166" s="422" t="s">
        <v>80</v>
      </c>
      <c r="C166" s="236" t="s">
        <v>255</v>
      </c>
      <c r="D166" s="250" t="s">
        <v>78</v>
      </c>
      <c r="E166" s="299" t="s">
        <v>59</v>
      </c>
      <c r="F166" s="304">
        <f>F1*(0.62*(1.014*1.012*1.015)*1.1/1.17)*1.028</f>
        <v>0.63879864215100268</v>
      </c>
      <c r="H166" s="38"/>
      <c r="I166" s="56"/>
      <c r="J166" s="56"/>
      <c r="K166" s="56"/>
      <c r="L166" s="57"/>
      <c r="M166" s="74">
        <f>SUM(H166:L166)</f>
        <v>0</v>
      </c>
      <c r="N166" s="195">
        <v>1</v>
      </c>
      <c r="O166" s="241">
        <f>$F166*M166*N166</f>
        <v>0</v>
      </c>
      <c r="P166" s="378">
        <f>VLOOKUP(P5,'Databaze rizik'!$K$2:$Z$6,11,FALSE)/100+1</f>
        <v>1.18</v>
      </c>
      <c r="Q166" s="375">
        <f>VLOOKUP(Q5,'Databaze rizik'!$K$21:$Z$25,11,FALSE)/100+1</f>
        <v>1.0900000000000001</v>
      </c>
      <c r="R166" s="375">
        <f>VLOOKUP(R5,'Databaze rizik'!$K$41:$Z$45,11,FALSE)/100+1</f>
        <v>1</v>
      </c>
      <c r="S166" s="375">
        <f>VLOOKUP(S5,'Databaze rizik'!$K$61:$Z$66,11,FALSE)/100+1</f>
        <v>1.02</v>
      </c>
      <c r="T166" s="375">
        <f>VLOOKUP(T5,'Databaze rizik'!$K$81:$Z$85,11,FALSE)/100+1</f>
        <v>1.02</v>
      </c>
      <c r="U166" s="375">
        <f>VLOOKUP(U5,'Databaze rizik'!$K$101:$Z$105,11,FALSE)/100+1</f>
        <v>1</v>
      </c>
      <c r="V166" s="372">
        <f t="shared" ref="V166" si="249">P166*Q166*R166*S166*T166*U166</f>
        <v>1.33816248</v>
      </c>
      <c r="W166" s="238">
        <f t="shared" ref="W166:W174" si="250">O166*V$166</f>
        <v>0</v>
      </c>
      <c r="Y166" s="38"/>
      <c r="Z166" s="56"/>
      <c r="AA166" s="56"/>
      <c r="AB166" s="56"/>
      <c r="AC166" s="57"/>
      <c r="AD166" s="74">
        <f>SUM(Y166:AC166)</f>
        <v>0</v>
      </c>
      <c r="AE166" s="195">
        <v>1</v>
      </c>
      <c r="AF166" s="241">
        <f>$F166*AD166*AE166</f>
        <v>0</v>
      </c>
      <c r="AG166" s="378">
        <f>VLOOKUP(AG5,'Databaze rizik'!$K$2:$Z$6,11,FALSE)/100+1</f>
        <v>1.18</v>
      </c>
      <c r="AH166" s="375">
        <f>VLOOKUP(AH5,'Databaze rizik'!$K$21:$Z$25,11,FALSE)/100+1</f>
        <v>1.0900000000000001</v>
      </c>
      <c r="AI166" s="375">
        <f>VLOOKUP(AI5,'Databaze rizik'!$K$41:$Z$45,11,FALSE)/100+1</f>
        <v>1</v>
      </c>
      <c r="AJ166" s="375">
        <f>VLOOKUP(AJ5,'Databaze rizik'!$K$61:$Z$66,11,FALSE)/100+1</f>
        <v>1.02</v>
      </c>
      <c r="AK166" s="375">
        <f>VLOOKUP(AK5,'Databaze rizik'!$K$81:$Z$85,11,FALSE)/100+1</f>
        <v>1.02</v>
      </c>
      <c r="AL166" s="375">
        <f>VLOOKUP(AL5,'Databaze rizik'!$K$101:$Z$105,11,FALSE)/100+1</f>
        <v>1</v>
      </c>
      <c r="AM166" s="372">
        <f t="shared" ref="AM166" si="251">AG166*AH166*AI166*AJ166*AK166*AL166</f>
        <v>1.33816248</v>
      </c>
      <c r="AN166" s="238">
        <f t="shared" ref="AN166:AN174" si="252">AF166*AM$166</f>
        <v>0</v>
      </c>
      <c r="AP166" s="38"/>
      <c r="AQ166" s="56"/>
      <c r="AR166" s="56"/>
      <c r="AS166" s="56"/>
      <c r="AT166" s="57"/>
      <c r="AU166" s="74">
        <f>SUM(AP166:AT166)</f>
        <v>0</v>
      </c>
      <c r="AV166" s="195">
        <v>1</v>
      </c>
      <c r="AW166" s="241">
        <f>$F166*AU166*AV166</f>
        <v>0</v>
      </c>
      <c r="AX166" s="378">
        <f>VLOOKUP(AX5,'Databaze rizik'!$K$2:$Z$6,11,FALSE)/100+1</f>
        <v>1.18</v>
      </c>
      <c r="AY166" s="375">
        <f>VLOOKUP(AY5,'Databaze rizik'!$K$21:$Z$25,11,FALSE)/100+1</f>
        <v>1.0900000000000001</v>
      </c>
      <c r="AZ166" s="375">
        <f>VLOOKUP(AZ5,'Databaze rizik'!$K$41:$Z$45,11,FALSE)/100+1</f>
        <v>1</v>
      </c>
      <c r="BA166" s="375">
        <f>VLOOKUP(BA5,'Databaze rizik'!$K$61:$Z$66,11,FALSE)/100+1</f>
        <v>1.02</v>
      </c>
      <c r="BB166" s="375">
        <f>VLOOKUP(BB5,'Databaze rizik'!$K$81:$Z$85,11,FALSE)/100+1</f>
        <v>1.02</v>
      </c>
      <c r="BC166" s="375">
        <f>VLOOKUP(BC5,'Databaze rizik'!$K$101:$Z$105,11,FALSE)/100+1</f>
        <v>1</v>
      </c>
      <c r="BD166" s="372">
        <f t="shared" ref="BD166" si="253">AX166*AY166*AZ166*BA166*BB166*BC166</f>
        <v>1.33816248</v>
      </c>
      <c r="BE166" s="238">
        <f t="shared" ref="BE166:BE174" si="254">AW166*BD$166</f>
        <v>0</v>
      </c>
      <c r="BG166" s="38"/>
      <c r="BH166" s="56"/>
      <c r="BI166" s="56"/>
      <c r="BJ166" s="56"/>
      <c r="BK166" s="57"/>
      <c r="BL166" s="74">
        <f>SUM(BG166:BK166)</f>
        <v>0</v>
      </c>
      <c r="BM166" s="195">
        <v>1</v>
      </c>
      <c r="BN166" s="241">
        <f>$F166*BL166*BM166</f>
        <v>0</v>
      </c>
      <c r="BO166" s="378">
        <f>VLOOKUP(BO5,'Databaze rizik'!$K$2:$Z$6,11,FALSE)/100+1</f>
        <v>1</v>
      </c>
      <c r="BP166" s="375">
        <f>VLOOKUP(BP5,'Databaze rizik'!$K$21:$Z$25,11,FALSE)/100+1</f>
        <v>1</v>
      </c>
      <c r="BQ166" s="375">
        <f>VLOOKUP(BQ5,'Databaze rizik'!$K$41:$Z$45,11,FALSE)/100+1</f>
        <v>1</v>
      </c>
      <c r="BR166" s="375">
        <f>VLOOKUP(BR5,'Databaze rizik'!$K$61:$Z$66,11,FALSE)/100+1</f>
        <v>1.02</v>
      </c>
      <c r="BS166" s="375">
        <f>VLOOKUP(BS5,'Databaze rizik'!$K$81:$Z$85,11,FALSE)/100+1</f>
        <v>1.02</v>
      </c>
      <c r="BT166" s="375">
        <f>VLOOKUP(BT5,'Databaze rizik'!$K$101:$Z$105,11,FALSE)/100+1</f>
        <v>1</v>
      </c>
      <c r="BU166" s="372">
        <f t="shared" ref="BU166" si="255">BO166*BP166*BQ166*BR166*BS166*BT166</f>
        <v>1.0404</v>
      </c>
      <c r="BV166" s="238">
        <f t="shared" ref="BV166:BV174" si="256">BN166*BU$166</f>
        <v>0</v>
      </c>
      <c r="BX166" s="38"/>
      <c r="BY166" s="56"/>
      <c r="BZ166" s="56"/>
      <c r="CA166" s="56"/>
      <c r="CB166" s="57"/>
      <c r="CC166" s="74">
        <f>SUM(BX166:CB166)</f>
        <v>0</v>
      </c>
      <c r="CD166" s="195">
        <v>1</v>
      </c>
      <c r="CE166" s="241">
        <f>$F166*CC166*CD166</f>
        <v>0</v>
      </c>
      <c r="CF166" s="378">
        <f>VLOOKUP(CF5,'Databaze rizik'!$K$2:$Z$6,11,FALSE)/100+1</f>
        <v>1</v>
      </c>
      <c r="CG166" s="375">
        <f>VLOOKUP(CG5,'Databaze rizik'!$K$21:$Z$25,11,FALSE)/100+1</f>
        <v>1</v>
      </c>
      <c r="CH166" s="375">
        <f>VLOOKUP(CH5,'Databaze rizik'!$K$41:$Z$45,11,FALSE)/100+1</f>
        <v>1</v>
      </c>
      <c r="CI166" s="375">
        <f>VLOOKUP(CI5,'Databaze rizik'!$K$61:$Z$66,11,FALSE)/100+1</f>
        <v>1.02</v>
      </c>
      <c r="CJ166" s="375">
        <f>VLOOKUP(CJ5,'Databaze rizik'!$K$81:$Z$85,11,FALSE)/100+1</f>
        <v>1.02</v>
      </c>
      <c r="CK166" s="375">
        <f>VLOOKUP(CK5,'Databaze rizik'!$K$101:$Z$105,11,FALSE)/100+1</f>
        <v>1</v>
      </c>
      <c r="CL166" s="372">
        <f t="shared" ref="CL166" si="257">CF166*CG166*CH166*CI166*CJ166*CK166</f>
        <v>1.0404</v>
      </c>
      <c r="CM166" s="238">
        <f t="shared" ref="CM166:CM174" si="258">CE166*CL$166</f>
        <v>0</v>
      </c>
      <c r="CN166" s="39"/>
      <c r="CO166" s="55"/>
      <c r="CP166" s="77">
        <f t="shared" ref="CP166:CP174" si="259">SUMIF(H$1:CM$1,1,H166:CM166)</f>
        <v>0</v>
      </c>
      <c r="CQ166" s="3"/>
      <c r="CR166" s="77">
        <f t="shared" ref="CR166:CR174" si="260">SUMIF(H$1:CM$1,2,H166:CM166)</f>
        <v>0</v>
      </c>
      <c r="CT166" s="77">
        <f t="shared" si="233"/>
        <v>0</v>
      </c>
    </row>
    <row r="167" spans="1:98" ht="15" customHeight="1" x14ac:dyDescent="0.2">
      <c r="A167" s="392"/>
      <c r="B167" s="423"/>
      <c r="C167" s="234" t="s">
        <v>256</v>
      </c>
      <c r="D167" s="242" t="s">
        <v>79</v>
      </c>
      <c r="E167" s="298" t="s">
        <v>59</v>
      </c>
      <c r="F167" s="301">
        <f>F1*(0.56*(1.014*1.012*1.015)*1.1/1.17)*1.028</f>
        <v>0.57697941871703484</v>
      </c>
      <c r="H167" s="43"/>
      <c r="I167" s="24"/>
      <c r="J167" s="24"/>
      <c r="K167" s="24"/>
      <c r="L167" s="25"/>
      <c r="M167" s="82">
        <f t="shared" ref="M167:M172" si="261">SUM(H167:L167)</f>
        <v>0</v>
      </c>
      <c r="N167" s="198">
        <v>1</v>
      </c>
      <c r="O167" s="245">
        <f t="shared" ref="O167:O172" si="262">$F167*M167*N167</f>
        <v>0</v>
      </c>
      <c r="P167" s="379"/>
      <c r="Q167" s="376"/>
      <c r="R167" s="376"/>
      <c r="S167" s="376"/>
      <c r="T167" s="376"/>
      <c r="U167" s="376"/>
      <c r="V167" s="373"/>
      <c r="W167" s="245">
        <f t="shared" si="250"/>
        <v>0</v>
      </c>
      <c r="Y167" s="43"/>
      <c r="Z167" s="24"/>
      <c r="AA167" s="24"/>
      <c r="AB167" s="24"/>
      <c r="AC167" s="25"/>
      <c r="AD167" s="82">
        <f>SUM(Y167:AC167)</f>
        <v>0</v>
      </c>
      <c r="AE167" s="198">
        <v>1</v>
      </c>
      <c r="AF167" s="245">
        <f>$F167*AD167*AE167</f>
        <v>0</v>
      </c>
      <c r="AG167" s="379"/>
      <c r="AH167" s="376"/>
      <c r="AI167" s="376"/>
      <c r="AJ167" s="376"/>
      <c r="AK167" s="376"/>
      <c r="AL167" s="376"/>
      <c r="AM167" s="373"/>
      <c r="AN167" s="245">
        <f t="shared" si="252"/>
        <v>0</v>
      </c>
      <c r="AP167" s="43"/>
      <c r="AQ167" s="24"/>
      <c r="AR167" s="24"/>
      <c r="AS167" s="24"/>
      <c r="AT167" s="25"/>
      <c r="AU167" s="82">
        <f>SUM(AP167:AT167)</f>
        <v>0</v>
      </c>
      <c r="AV167" s="198">
        <v>1</v>
      </c>
      <c r="AW167" s="245">
        <f>$F167*AU167*AV167</f>
        <v>0</v>
      </c>
      <c r="AX167" s="379"/>
      <c r="AY167" s="376"/>
      <c r="AZ167" s="376"/>
      <c r="BA167" s="376"/>
      <c r="BB167" s="376"/>
      <c r="BC167" s="376"/>
      <c r="BD167" s="373"/>
      <c r="BE167" s="245">
        <f t="shared" si="254"/>
        <v>0</v>
      </c>
      <c r="BG167" s="43"/>
      <c r="BH167" s="24"/>
      <c r="BI167" s="24"/>
      <c r="BJ167" s="24"/>
      <c r="BK167" s="25"/>
      <c r="BL167" s="82">
        <f>SUM(BG167:BK167)</f>
        <v>0</v>
      </c>
      <c r="BM167" s="198">
        <v>1</v>
      </c>
      <c r="BN167" s="245">
        <f>$F167*BL167*BM167</f>
        <v>0</v>
      </c>
      <c r="BO167" s="379"/>
      <c r="BP167" s="376"/>
      <c r="BQ167" s="376"/>
      <c r="BR167" s="376"/>
      <c r="BS167" s="376"/>
      <c r="BT167" s="376"/>
      <c r="BU167" s="373"/>
      <c r="BV167" s="245">
        <f t="shared" si="256"/>
        <v>0</v>
      </c>
      <c r="BX167" s="43"/>
      <c r="BY167" s="24"/>
      <c r="BZ167" s="24"/>
      <c r="CA167" s="24"/>
      <c r="CB167" s="25"/>
      <c r="CC167" s="82">
        <f>SUM(BX167:CB167)</f>
        <v>0</v>
      </c>
      <c r="CD167" s="198">
        <v>1</v>
      </c>
      <c r="CE167" s="245">
        <f>$F167*CC167*CD167</f>
        <v>0</v>
      </c>
      <c r="CF167" s="379"/>
      <c r="CG167" s="376"/>
      <c r="CH167" s="376"/>
      <c r="CI167" s="376"/>
      <c r="CJ167" s="376"/>
      <c r="CK167" s="376"/>
      <c r="CL167" s="373"/>
      <c r="CM167" s="245">
        <f t="shared" si="258"/>
        <v>0</v>
      </c>
      <c r="CN167" s="39"/>
      <c r="CO167" s="55"/>
      <c r="CP167" s="75">
        <f t="shared" si="259"/>
        <v>0</v>
      </c>
      <c r="CQ167" s="3"/>
      <c r="CR167" s="76">
        <f t="shared" si="260"/>
        <v>0</v>
      </c>
      <c r="CT167" s="76">
        <f t="shared" si="233"/>
        <v>0</v>
      </c>
    </row>
    <row r="168" spans="1:98" ht="15" customHeight="1" x14ac:dyDescent="0.2">
      <c r="A168" s="392"/>
      <c r="B168" s="423"/>
      <c r="C168" s="234" t="s">
        <v>257</v>
      </c>
      <c r="D168" s="242" t="s">
        <v>81</v>
      </c>
      <c r="E168" s="298" t="s">
        <v>59</v>
      </c>
      <c r="F168" s="301">
        <f>F1*(0.97*(1.014*1.012*1.015)*1.1/1.17)*1.028</f>
        <v>0.99941077884914931</v>
      </c>
      <c r="H168" s="43"/>
      <c r="I168" s="24"/>
      <c r="J168" s="24"/>
      <c r="K168" s="24"/>
      <c r="L168" s="25"/>
      <c r="M168" s="82">
        <f t="shared" si="261"/>
        <v>0</v>
      </c>
      <c r="N168" s="198">
        <v>1</v>
      </c>
      <c r="O168" s="245">
        <f t="shared" si="262"/>
        <v>0</v>
      </c>
      <c r="P168" s="379"/>
      <c r="Q168" s="376"/>
      <c r="R168" s="376"/>
      <c r="S168" s="376"/>
      <c r="T168" s="376"/>
      <c r="U168" s="376"/>
      <c r="V168" s="373"/>
      <c r="W168" s="245">
        <f t="shared" si="250"/>
        <v>0</v>
      </c>
      <c r="Y168" s="43"/>
      <c r="Z168" s="24"/>
      <c r="AA168" s="24"/>
      <c r="AB168" s="24"/>
      <c r="AC168" s="25"/>
      <c r="AD168" s="82">
        <f>SUM(Y168:AC168)</f>
        <v>0</v>
      </c>
      <c r="AE168" s="198">
        <v>1</v>
      </c>
      <c r="AF168" s="245">
        <f>$F168*AD168*AE168</f>
        <v>0</v>
      </c>
      <c r="AG168" s="379"/>
      <c r="AH168" s="376"/>
      <c r="AI168" s="376"/>
      <c r="AJ168" s="376"/>
      <c r="AK168" s="376"/>
      <c r="AL168" s="376"/>
      <c r="AM168" s="373"/>
      <c r="AN168" s="245">
        <f t="shared" si="252"/>
        <v>0</v>
      </c>
      <c r="AP168" s="43"/>
      <c r="AQ168" s="24"/>
      <c r="AR168" s="24"/>
      <c r="AS168" s="24"/>
      <c r="AT168" s="25"/>
      <c r="AU168" s="82">
        <f>SUM(AP168:AT168)</f>
        <v>0</v>
      </c>
      <c r="AV168" s="198">
        <v>1</v>
      </c>
      <c r="AW168" s="245">
        <f>$F168*AU168*AV168</f>
        <v>0</v>
      </c>
      <c r="AX168" s="379"/>
      <c r="AY168" s="376"/>
      <c r="AZ168" s="376"/>
      <c r="BA168" s="376"/>
      <c r="BB168" s="376"/>
      <c r="BC168" s="376"/>
      <c r="BD168" s="373"/>
      <c r="BE168" s="245">
        <f t="shared" si="254"/>
        <v>0</v>
      </c>
      <c r="BG168" s="43"/>
      <c r="BH168" s="24"/>
      <c r="BI168" s="24"/>
      <c r="BJ168" s="24"/>
      <c r="BK168" s="25"/>
      <c r="BL168" s="82">
        <f>SUM(BG168:BK168)</f>
        <v>0</v>
      </c>
      <c r="BM168" s="198">
        <v>1</v>
      </c>
      <c r="BN168" s="245">
        <f>$F168*BL168*BM168</f>
        <v>0</v>
      </c>
      <c r="BO168" s="379"/>
      <c r="BP168" s="376"/>
      <c r="BQ168" s="376"/>
      <c r="BR168" s="376"/>
      <c r="BS168" s="376"/>
      <c r="BT168" s="376"/>
      <c r="BU168" s="373"/>
      <c r="BV168" s="245">
        <f t="shared" si="256"/>
        <v>0</v>
      </c>
      <c r="BX168" s="43"/>
      <c r="BY168" s="24"/>
      <c r="BZ168" s="24"/>
      <c r="CA168" s="24"/>
      <c r="CB168" s="25"/>
      <c r="CC168" s="82">
        <f>SUM(BX168:CB168)</f>
        <v>0</v>
      </c>
      <c r="CD168" s="198">
        <v>1</v>
      </c>
      <c r="CE168" s="245">
        <f>$F168*CC168*CD168</f>
        <v>0</v>
      </c>
      <c r="CF168" s="379"/>
      <c r="CG168" s="376"/>
      <c r="CH168" s="376"/>
      <c r="CI168" s="376"/>
      <c r="CJ168" s="376"/>
      <c r="CK168" s="376"/>
      <c r="CL168" s="373"/>
      <c r="CM168" s="245">
        <f t="shared" si="258"/>
        <v>0</v>
      </c>
      <c r="CN168" s="39"/>
      <c r="CO168" s="55"/>
      <c r="CP168" s="75">
        <f t="shared" si="259"/>
        <v>0</v>
      </c>
      <c r="CQ168" s="3"/>
      <c r="CR168" s="76">
        <f t="shared" si="260"/>
        <v>0</v>
      </c>
      <c r="CT168" s="76">
        <f t="shared" si="233"/>
        <v>0</v>
      </c>
    </row>
    <row r="169" spans="1:98" ht="15" customHeight="1" x14ac:dyDescent="0.2">
      <c r="A169" s="392"/>
      <c r="B169" s="423"/>
      <c r="C169" s="234" t="s">
        <v>258</v>
      </c>
      <c r="D169" s="242" t="s">
        <v>82</v>
      </c>
      <c r="E169" s="298" t="s">
        <v>59</v>
      </c>
      <c r="F169" s="301">
        <f>F1*(0.86*(1.014*1.012*1.015)*1.1/1.17)*1.028</f>
        <v>0.8860755358868746</v>
      </c>
      <c r="H169" s="43"/>
      <c r="I169" s="24"/>
      <c r="J169" s="24"/>
      <c r="K169" s="24"/>
      <c r="L169" s="25"/>
      <c r="M169" s="82">
        <f t="shared" si="261"/>
        <v>0</v>
      </c>
      <c r="N169" s="198">
        <v>1</v>
      </c>
      <c r="O169" s="245">
        <f t="shared" si="262"/>
        <v>0</v>
      </c>
      <c r="P169" s="379"/>
      <c r="Q169" s="376"/>
      <c r="R169" s="376"/>
      <c r="S169" s="376"/>
      <c r="T169" s="376"/>
      <c r="U169" s="376"/>
      <c r="V169" s="373"/>
      <c r="W169" s="245">
        <f t="shared" si="250"/>
        <v>0</v>
      </c>
      <c r="Y169" s="43"/>
      <c r="Z169" s="24"/>
      <c r="AA169" s="24"/>
      <c r="AB169" s="24"/>
      <c r="AC169" s="25"/>
      <c r="AD169" s="82">
        <f>SUM(Y169:AC169)</f>
        <v>0</v>
      </c>
      <c r="AE169" s="198">
        <v>1</v>
      </c>
      <c r="AF169" s="245">
        <f>$F169*AD169*AE169</f>
        <v>0</v>
      </c>
      <c r="AG169" s="379"/>
      <c r="AH169" s="376"/>
      <c r="AI169" s="376"/>
      <c r="AJ169" s="376"/>
      <c r="AK169" s="376"/>
      <c r="AL169" s="376"/>
      <c r="AM169" s="373"/>
      <c r="AN169" s="245">
        <f t="shared" si="252"/>
        <v>0</v>
      </c>
      <c r="AP169" s="43"/>
      <c r="AQ169" s="24"/>
      <c r="AR169" s="24"/>
      <c r="AS169" s="24"/>
      <c r="AT169" s="25"/>
      <c r="AU169" s="82">
        <f>SUM(AP169:AT169)</f>
        <v>0</v>
      </c>
      <c r="AV169" s="198">
        <v>1</v>
      </c>
      <c r="AW169" s="245">
        <f>$F169*AU169*AV169</f>
        <v>0</v>
      </c>
      <c r="AX169" s="379"/>
      <c r="AY169" s="376"/>
      <c r="AZ169" s="376"/>
      <c r="BA169" s="376"/>
      <c r="BB169" s="376"/>
      <c r="BC169" s="376"/>
      <c r="BD169" s="373"/>
      <c r="BE169" s="245">
        <f t="shared" si="254"/>
        <v>0</v>
      </c>
      <c r="BG169" s="43"/>
      <c r="BH169" s="24"/>
      <c r="BI169" s="24"/>
      <c r="BJ169" s="24"/>
      <c r="BK169" s="25"/>
      <c r="BL169" s="82">
        <f>SUM(BG169:BK169)</f>
        <v>0</v>
      </c>
      <c r="BM169" s="198">
        <v>1</v>
      </c>
      <c r="BN169" s="245">
        <f>$F169*BL169*BM169</f>
        <v>0</v>
      </c>
      <c r="BO169" s="379"/>
      <c r="BP169" s="376"/>
      <c r="BQ169" s="376"/>
      <c r="BR169" s="376"/>
      <c r="BS169" s="376"/>
      <c r="BT169" s="376"/>
      <c r="BU169" s="373"/>
      <c r="BV169" s="245">
        <f t="shared" si="256"/>
        <v>0</v>
      </c>
      <c r="BX169" s="43"/>
      <c r="BY169" s="24"/>
      <c r="BZ169" s="24"/>
      <c r="CA169" s="24"/>
      <c r="CB169" s="25"/>
      <c r="CC169" s="82">
        <f>SUM(BX169:CB169)</f>
        <v>0</v>
      </c>
      <c r="CD169" s="198">
        <v>1</v>
      </c>
      <c r="CE169" s="245">
        <f>$F169*CC169*CD169</f>
        <v>0</v>
      </c>
      <c r="CF169" s="379"/>
      <c r="CG169" s="376"/>
      <c r="CH169" s="376"/>
      <c r="CI169" s="376"/>
      <c r="CJ169" s="376"/>
      <c r="CK169" s="376"/>
      <c r="CL169" s="373"/>
      <c r="CM169" s="245">
        <f t="shared" si="258"/>
        <v>0</v>
      </c>
      <c r="CN169" s="39"/>
      <c r="CO169" s="55"/>
      <c r="CP169" s="75">
        <f t="shared" si="259"/>
        <v>0</v>
      </c>
      <c r="CQ169" s="3"/>
      <c r="CR169" s="76">
        <f t="shared" si="260"/>
        <v>0</v>
      </c>
      <c r="CT169" s="76">
        <f t="shared" si="233"/>
        <v>0</v>
      </c>
    </row>
    <row r="170" spans="1:98" ht="15" customHeight="1" x14ac:dyDescent="0.2">
      <c r="A170" s="392"/>
      <c r="B170" s="424"/>
      <c r="C170" s="234" t="s">
        <v>259</v>
      </c>
      <c r="D170" s="220" t="s">
        <v>216</v>
      </c>
      <c r="E170" s="222" t="s">
        <v>10</v>
      </c>
      <c r="F170" s="323"/>
      <c r="H170" s="43"/>
      <c r="I170" s="24"/>
      <c r="J170" s="24"/>
      <c r="K170" s="24"/>
      <c r="L170" s="25"/>
      <c r="M170" s="82"/>
      <c r="N170" s="246"/>
      <c r="O170" s="245">
        <f>SUM(H170:L170)</f>
        <v>0</v>
      </c>
      <c r="P170" s="379"/>
      <c r="Q170" s="376"/>
      <c r="R170" s="376"/>
      <c r="S170" s="376"/>
      <c r="T170" s="376"/>
      <c r="U170" s="376"/>
      <c r="V170" s="373"/>
      <c r="W170" s="245">
        <f t="shared" si="250"/>
        <v>0</v>
      </c>
      <c r="Y170" s="43"/>
      <c r="Z170" s="24"/>
      <c r="AA170" s="24"/>
      <c r="AB170" s="24"/>
      <c r="AC170" s="25"/>
      <c r="AD170" s="82"/>
      <c r="AE170" s="246"/>
      <c r="AF170" s="245">
        <f>SUM(Y170:AC170)</f>
        <v>0</v>
      </c>
      <c r="AG170" s="379"/>
      <c r="AH170" s="376"/>
      <c r="AI170" s="376"/>
      <c r="AJ170" s="376"/>
      <c r="AK170" s="376"/>
      <c r="AL170" s="376"/>
      <c r="AM170" s="373"/>
      <c r="AN170" s="245">
        <f t="shared" si="252"/>
        <v>0</v>
      </c>
      <c r="AP170" s="43"/>
      <c r="AQ170" s="24"/>
      <c r="AR170" s="24"/>
      <c r="AS170" s="24"/>
      <c r="AT170" s="25"/>
      <c r="AU170" s="82"/>
      <c r="AV170" s="246"/>
      <c r="AW170" s="245">
        <f>SUM(AP170:AT170)</f>
        <v>0</v>
      </c>
      <c r="AX170" s="379"/>
      <c r="AY170" s="376"/>
      <c r="AZ170" s="376"/>
      <c r="BA170" s="376"/>
      <c r="BB170" s="376"/>
      <c r="BC170" s="376"/>
      <c r="BD170" s="373"/>
      <c r="BE170" s="245">
        <f t="shared" si="254"/>
        <v>0</v>
      </c>
      <c r="BG170" s="43"/>
      <c r="BH170" s="24"/>
      <c r="BI170" s="24"/>
      <c r="BJ170" s="24"/>
      <c r="BK170" s="25"/>
      <c r="BL170" s="82"/>
      <c r="BM170" s="246"/>
      <c r="BN170" s="245">
        <f>SUM(BG170:BK170)</f>
        <v>0</v>
      </c>
      <c r="BO170" s="379"/>
      <c r="BP170" s="376"/>
      <c r="BQ170" s="376"/>
      <c r="BR170" s="376"/>
      <c r="BS170" s="376"/>
      <c r="BT170" s="376"/>
      <c r="BU170" s="373"/>
      <c r="BV170" s="245">
        <f t="shared" si="256"/>
        <v>0</v>
      </c>
      <c r="BX170" s="43"/>
      <c r="BY170" s="24"/>
      <c r="BZ170" s="24"/>
      <c r="CA170" s="24"/>
      <c r="CB170" s="25"/>
      <c r="CC170" s="82"/>
      <c r="CD170" s="246"/>
      <c r="CE170" s="245">
        <f>SUM(BX170:CB170)</f>
        <v>0</v>
      </c>
      <c r="CF170" s="379"/>
      <c r="CG170" s="376"/>
      <c r="CH170" s="376"/>
      <c r="CI170" s="376"/>
      <c r="CJ170" s="376"/>
      <c r="CK170" s="376"/>
      <c r="CL170" s="373"/>
      <c r="CM170" s="245">
        <f t="shared" si="258"/>
        <v>0</v>
      </c>
      <c r="CN170" s="39"/>
      <c r="CO170" s="55"/>
      <c r="CP170" s="75">
        <f t="shared" si="259"/>
        <v>0</v>
      </c>
      <c r="CQ170" s="3"/>
      <c r="CR170" s="76">
        <f t="shared" si="260"/>
        <v>0</v>
      </c>
      <c r="CT170" s="76">
        <f t="shared" si="233"/>
        <v>0</v>
      </c>
    </row>
    <row r="171" spans="1:98" ht="15" customHeight="1" x14ac:dyDescent="0.2">
      <c r="A171" s="392"/>
      <c r="B171" s="394" t="s">
        <v>41</v>
      </c>
      <c r="C171" s="234" t="s">
        <v>260</v>
      </c>
      <c r="D171" s="201" t="s">
        <v>357</v>
      </c>
      <c r="E171" s="202"/>
      <c r="F171" s="322"/>
      <c r="H171" s="43"/>
      <c r="I171" s="24"/>
      <c r="J171" s="24"/>
      <c r="K171" s="24"/>
      <c r="L171" s="25"/>
      <c r="M171" s="82">
        <f t="shared" si="261"/>
        <v>0</v>
      </c>
      <c r="N171" s="198">
        <v>1</v>
      </c>
      <c r="O171" s="245">
        <f t="shared" si="262"/>
        <v>0</v>
      </c>
      <c r="P171" s="379"/>
      <c r="Q171" s="376"/>
      <c r="R171" s="376"/>
      <c r="S171" s="376"/>
      <c r="T171" s="376"/>
      <c r="U171" s="376"/>
      <c r="V171" s="373"/>
      <c r="W171" s="245">
        <f t="shared" si="250"/>
        <v>0</v>
      </c>
      <c r="Y171" s="43"/>
      <c r="Z171" s="24"/>
      <c r="AA171" s="24"/>
      <c r="AB171" s="24"/>
      <c r="AC171" s="25"/>
      <c r="AD171" s="82">
        <f>SUM(Y171:AC171)</f>
        <v>0</v>
      </c>
      <c r="AE171" s="198">
        <v>1</v>
      </c>
      <c r="AF171" s="245">
        <f>$F171*AD171*AE171</f>
        <v>0</v>
      </c>
      <c r="AG171" s="379"/>
      <c r="AH171" s="376"/>
      <c r="AI171" s="376"/>
      <c r="AJ171" s="376"/>
      <c r="AK171" s="376"/>
      <c r="AL171" s="376"/>
      <c r="AM171" s="373"/>
      <c r="AN171" s="245">
        <f t="shared" si="252"/>
        <v>0</v>
      </c>
      <c r="AP171" s="43"/>
      <c r="AQ171" s="24"/>
      <c r="AR171" s="24"/>
      <c r="AS171" s="24"/>
      <c r="AT171" s="25"/>
      <c r="AU171" s="82">
        <f>SUM(AP171:AT171)</f>
        <v>0</v>
      </c>
      <c r="AV171" s="198">
        <v>1</v>
      </c>
      <c r="AW171" s="245">
        <f>$F171*AU171*AV171</f>
        <v>0</v>
      </c>
      <c r="AX171" s="379"/>
      <c r="AY171" s="376"/>
      <c r="AZ171" s="376"/>
      <c r="BA171" s="376"/>
      <c r="BB171" s="376"/>
      <c r="BC171" s="376"/>
      <c r="BD171" s="373"/>
      <c r="BE171" s="245">
        <f t="shared" si="254"/>
        <v>0</v>
      </c>
      <c r="BG171" s="43"/>
      <c r="BH171" s="24"/>
      <c r="BI171" s="24"/>
      <c r="BJ171" s="24"/>
      <c r="BK171" s="25"/>
      <c r="BL171" s="82">
        <f>SUM(BG171:BK171)</f>
        <v>0</v>
      </c>
      <c r="BM171" s="198">
        <v>1</v>
      </c>
      <c r="BN171" s="245">
        <f>$F171*BL171*BM171</f>
        <v>0</v>
      </c>
      <c r="BO171" s="379"/>
      <c r="BP171" s="376"/>
      <c r="BQ171" s="376"/>
      <c r="BR171" s="376"/>
      <c r="BS171" s="376"/>
      <c r="BT171" s="376"/>
      <c r="BU171" s="373"/>
      <c r="BV171" s="245">
        <f t="shared" si="256"/>
        <v>0</v>
      </c>
      <c r="BX171" s="43"/>
      <c r="BY171" s="24"/>
      <c r="BZ171" s="24"/>
      <c r="CA171" s="24"/>
      <c r="CB171" s="25"/>
      <c r="CC171" s="82">
        <f>SUM(BX171:CB171)</f>
        <v>0</v>
      </c>
      <c r="CD171" s="198">
        <v>1</v>
      </c>
      <c r="CE171" s="245">
        <f>$F171*CC171*CD171</f>
        <v>0</v>
      </c>
      <c r="CF171" s="379"/>
      <c r="CG171" s="376"/>
      <c r="CH171" s="376"/>
      <c r="CI171" s="376"/>
      <c r="CJ171" s="376"/>
      <c r="CK171" s="376"/>
      <c r="CL171" s="373"/>
      <c r="CM171" s="245">
        <f t="shared" si="258"/>
        <v>0</v>
      </c>
      <c r="CN171" s="39"/>
      <c r="CO171" s="55"/>
      <c r="CP171" s="75">
        <f t="shared" si="259"/>
        <v>0</v>
      </c>
      <c r="CQ171" s="3"/>
      <c r="CR171" s="76">
        <f t="shared" si="260"/>
        <v>0</v>
      </c>
      <c r="CT171" s="76">
        <f t="shared" si="233"/>
        <v>0</v>
      </c>
    </row>
    <row r="172" spans="1:98" ht="15" customHeight="1" x14ac:dyDescent="0.2">
      <c r="A172" s="392"/>
      <c r="B172" s="395"/>
      <c r="C172" s="234" t="s">
        <v>261</v>
      </c>
      <c r="D172" s="201" t="s">
        <v>357</v>
      </c>
      <c r="E172" s="202"/>
      <c r="F172" s="322"/>
      <c r="H172" s="43"/>
      <c r="I172" s="24"/>
      <c r="J172" s="24"/>
      <c r="K172" s="24"/>
      <c r="L172" s="25"/>
      <c r="M172" s="82">
        <f t="shared" si="261"/>
        <v>0</v>
      </c>
      <c r="N172" s="198">
        <v>1</v>
      </c>
      <c r="O172" s="245">
        <f t="shared" si="262"/>
        <v>0</v>
      </c>
      <c r="P172" s="379"/>
      <c r="Q172" s="376"/>
      <c r="R172" s="376"/>
      <c r="S172" s="376"/>
      <c r="T172" s="376"/>
      <c r="U172" s="376"/>
      <c r="V172" s="373"/>
      <c r="W172" s="245">
        <f t="shared" si="250"/>
        <v>0</v>
      </c>
      <c r="Y172" s="43"/>
      <c r="Z172" s="24"/>
      <c r="AA172" s="24"/>
      <c r="AB172" s="24"/>
      <c r="AC172" s="25"/>
      <c r="AD172" s="82">
        <f>SUM(Y172:AC172)</f>
        <v>0</v>
      </c>
      <c r="AE172" s="198">
        <v>1</v>
      </c>
      <c r="AF172" s="245">
        <f>$F172*AD172*AE172</f>
        <v>0</v>
      </c>
      <c r="AG172" s="379"/>
      <c r="AH172" s="376"/>
      <c r="AI172" s="376"/>
      <c r="AJ172" s="376"/>
      <c r="AK172" s="376"/>
      <c r="AL172" s="376"/>
      <c r="AM172" s="373"/>
      <c r="AN172" s="245">
        <f t="shared" si="252"/>
        <v>0</v>
      </c>
      <c r="AP172" s="43"/>
      <c r="AQ172" s="24"/>
      <c r="AR172" s="24"/>
      <c r="AS172" s="24"/>
      <c r="AT172" s="25"/>
      <c r="AU172" s="82">
        <f>SUM(AP172:AT172)</f>
        <v>0</v>
      </c>
      <c r="AV172" s="198">
        <v>1</v>
      </c>
      <c r="AW172" s="245">
        <f>$F172*AU172*AV172</f>
        <v>0</v>
      </c>
      <c r="AX172" s="379"/>
      <c r="AY172" s="376"/>
      <c r="AZ172" s="376"/>
      <c r="BA172" s="376"/>
      <c r="BB172" s="376"/>
      <c r="BC172" s="376"/>
      <c r="BD172" s="373"/>
      <c r="BE172" s="245">
        <f t="shared" si="254"/>
        <v>0</v>
      </c>
      <c r="BG172" s="43"/>
      <c r="BH172" s="24"/>
      <c r="BI172" s="24"/>
      <c r="BJ172" s="24"/>
      <c r="BK172" s="25"/>
      <c r="BL172" s="82">
        <f>SUM(BG172:BK172)</f>
        <v>0</v>
      </c>
      <c r="BM172" s="198">
        <v>1</v>
      </c>
      <c r="BN172" s="245">
        <f>$F172*BL172*BM172</f>
        <v>0</v>
      </c>
      <c r="BO172" s="379"/>
      <c r="BP172" s="376"/>
      <c r="BQ172" s="376"/>
      <c r="BR172" s="376"/>
      <c r="BS172" s="376"/>
      <c r="BT172" s="376"/>
      <c r="BU172" s="373"/>
      <c r="BV172" s="245">
        <f t="shared" si="256"/>
        <v>0</v>
      </c>
      <c r="BX172" s="43"/>
      <c r="BY172" s="24"/>
      <c r="BZ172" s="24"/>
      <c r="CA172" s="24"/>
      <c r="CB172" s="25"/>
      <c r="CC172" s="82">
        <f>SUM(BX172:CB172)</f>
        <v>0</v>
      </c>
      <c r="CD172" s="198">
        <v>1</v>
      </c>
      <c r="CE172" s="245">
        <f>$F172*CC172*CD172</f>
        <v>0</v>
      </c>
      <c r="CF172" s="379"/>
      <c r="CG172" s="376"/>
      <c r="CH172" s="376"/>
      <c r="CI172" s="376"/>
      <c r="CJ172" s="376"/>
      <c r="CK172" s="376"/>
      <c r="CL172" s="373"/>
      <c r="CM172" s="245">
        <f t="shared" si="258"/>
        <v>0</v>
      </c>
      <c r="CN172" s="39"/>
      <c r="CO172" s="55"/>
      <c r="CP172" s="75">
        <f t="shared" si="259"/>
        <v>0</v>
      </c>
      <c r="CQ172" s="3"/>
      <c r="CR172" s="76">
        <f t="shared" si="260"/>
        <v>0</v>
      </c>
      <c r="CT172" s="76">
        <f t="shared" si="233"/>
        <v>0</v>
      </c>
    </row>
    <row r="173" spans="1:98" ht="15" customHeight="1" x14ac:dyDescent="0.2">
      <c r="A173" s="392"/>
      <c r="B173" s="395"/>
      <c r="C173" s="234" t="s">
        <v>262</v>
      </c>
      <c r="D173" s="204" t="s">
        <v>215</v>
      </c>
      <c r="E173" s="205" t="s">
        <v>10</v>
      </c>
      <c r="F173" s="323"/>
      <c r="H173" s="43"/>
      <c r="I173" s="24"/>
      <c r="J173" s="24"/>
      <c r="K173" s="24"/>
      <c r="L173" s="25"/>
      <c r="M173" s="82"/>
      <c r="N173" s="246"/>
      <c r="O173" s="245">
        <f>SUM(H173:L173)</f>
        <v>0</v>
      </c>
      <c r="P173" s="379"/>
      <c r="Q173" s="376"/>
      <c r="R173" s="376"/>
      <c r="S173" s="376"/>
      <c r="T173" s="376"/>
      <c r="U173" s="376"/>
      <c r="V173" s="373"/>
      <c r="W173" s="245">
        <f t="shared" si="250"/>
        <v>0</v>
      </c>
      <c r="Y173" s="43"/>
      <c r="Z173" s="24"/>
      <c r="AA173" s="24"/>
      <c r="AB173" s="24"/>
      <c r="AC173" s="25"/>
      <c r="AD173" s="82"/>
      <c r="AE173" s="246"/>
      <c r="AF173" s="245">
        <f>SUM(Y173:AC173)</f>
        <v>0</v>
      </c>
      <c r="AG173" s="379"/>
      <c r="AH173" s="376"/>
      <c r="AI173" s="376"/>
      <c r="AJ173" s="376"/>
      <c r="AK173" s="376"/>
      <c r="AL173" s="376"/>
      <c r="AM173" s="373"/>
      <c r="AN173" s="245">
        <f t="shared" si="252"/>
        <v>0</v>
      </c>
      <c r="AP173" s="43"/>
      <c r="AQ173" s="24"/>
      <c r="AR173" s="24"/>
      <c r="AS173" s="24"/>
      <c r="AT173" s="25"/>
      <c r="AU173" s="82"/>
      <c r="AV173" s="246"/>
      <c r="AW173" s="245">
        <f>SUM(AP173:AT173)</f>
        <v>0</v>
      </c>
      <c r="AX173" s="379"/>
      <c r="AY173" s="376"/>
      <c r="AZ173" s="376"/>
      <c r="BA173" s="376"/>
      <c r="BB173" s="376"/>
      <c r="BC173" s="376"/>
      <c r="BD173" s="373"/>
      <c r="BE173" s="245">
        <f t="shared" si="254"/>
        <v>0</v>
      </c>
      <c r="BG173" s="43"/>
      <c r="BH173" s="24"/>
      <c r="BI173" s="24"/>
      <c r="BJ173" s="24"/>
      <c r="BK173" s="25"/>
      <c r="BL173" s="82"/>
      <c r="BM173" s="246"/>
      <c r="BN173" s="245">
        <f>SUM(BG173:BK173)</f>
        <v>0</v>
      </c>
      <c r="BO173" s="379"/>
      <c r="BP173" s="376"/>
      <c r="BQ173" s="376"/>
      <c r="BR173" s="376"/>
      <c r="BS173" s="376"/>
      <c r="BT173" s="376"/>
      <c r="BU173" s="373"/>
      <c r="BV173" s="245">
        <f t="shared" si="256"/>
        <v>0</v>
      </c>
      <c r="BX173" s="43"/>
      <c r="BY173" s="24"/>
      <c r="BZ173" s="24"/>
      <c r="CA173" s="24"/>
      <c r="CB173" s="25"/>
      <c r="CC173" s="82"/>
      <c r="CD173" s="246"/>
      <c r="CE173" s="245">
        <f>SUM(BX173:CB173)</f>
        <v>0</v>
      </c>
      <c r="CF173" s="379"/>
      <c r="CG173" s="376"/>
      <c r="CH173" s="376"/>
      <c r="CI173" s="376"/>
      <c r="CJ173" s="376"/>
      <c r="CK173" s="376"/>
      <c r="CL173" s="373"/>
      <c r="CM173" s="245">
        <f t="shared" si="258"/>
        <v>0</v>
      </c>
      <c r="CN173" s="39"/>
      <c r="CO173" s="55"/>
      <c r="CP173" s="75">
        <f t="shared" si="259"/>
        <v>0</v>
      </c>
      <c r="CQ173" s="3"/>
      <c r="CR173" s="76">
        <f t="shared" si="260"/>
        <v>0</v>
      </c>
      <c r="CT173" s="76">
        <f t="shared" si="233"/>
        <v>0</v>
      </c>
    </row>
    <row r="174" spans="1:98" ht="15" customHeight="1" x14ac:dyDescent="0.2">
      <c r="A174" s="392"/>
      <c r="B174" s="395"/>
      <c r="C174" s="234" t="s">
        <v>499</v>
      </c>
      <c r="D174" s="255" t="s">
        <v>215</v>
      </c>
      <c r="E174" s="205" t="s">
        <v>10</v>
      </c>
      <c r="F174" s="323"/>
      <c r="H174" s="43"/>
      <c r="I174" s="24"/>
      <c r="J174" s="24"/>
      <c r="K174" s="24"/>
      <c r="L174" s="25"/>
      <c r="M174" s="82"/>
      <c r="N174" s="246"/>
      <c r="O174" s="245">
        <f>SUM(H174:L174)</f>
        <v>0</v>
      </c>
      <c r="P174" s="380"/>
      <c r="Q174" s="377"/>
      <c r="R174" s="377"/>
      <c r="S174" s="377"/>
      <c r="T174" s="377"/>
      <c r="U174" s="377"/>
      <c r="V174" s="374"/>
      <c r="W174" s="245">
        <f t="shared" si="250"/>
        <v>0</v>
      </c>
      <c r="Y174" s="43"/>
      <c r="Z174" s="24"/>
      <c r="AA174" s="24"/>
      <c r="AB174" s="24"/>
      <c r="AC174" s="25"/>
      <c r="AD174" s="82"/>
      <c r="AE174" s="246"/>
      <c r="AF174" s="245">
        <f>SUM(Y174:AC174)</f>
        <v>0</v>
      </c>
      <c r="AG174" s="380"/>
      <c r="AH174" s="377"/>
      <c r="AI174" s="377"/>
      <c r="AJ174" s="377"/>
      <c r="AK174" s="377"/>
      <c r="AL174" s="377"/>
      <c r="AM174" s="374"/>
      <c r="AN174" s="245">
        <f t="shared" si="252"/>
        <v>0</v>
      </c>
      <c r="AP174" s="43"/>
      <c r="AQ174" s="24"/>
      <c r="AR174" s="24"/>
      <c r="AS174" s="24"/>
      <c r="AT174" s="25"/>
      <c r="AU174" s="82"/>
      <c r="AV174" s="246"/>
      <c r="AW174" s="245">
        <f>SUM(AP174:AT174)</f>
        <v>0</v>
      </c>
      <c r="AX174" s="380"/>
      <c r="AY174" s="377"/>
      <c r="AZ174" s="377"/>
      <c r="BA174" s="377"/>
      <c r="BB174" s="377"/>
      <c r="BC174" s="377"/>
      <c r="BD174" s="374"/>
      <c r="BE174" s="245">
        <f t="shared" si="254"/>
        <v>0</v>
      </c>
      <c r="BG174" s="43"/>
      <c r="BH174" s="24"/>
      <c r="BI174" s="24"/>
      <c r="BJ174" s="24"/>
      <c r="BK174" s="25"/>
      <c r="BL174" s="82"/>
      <c r="BM174" s="246"/>
      <c r="BN174" s="245">
        <f>SUM(BG174:BK174)</f>
        <v>0</v>
      </c>
      <c r="BO174" s="380"/>
      <c r="BP174" s="377"/>
      <c r="BQ174" s="377"/>
      <c r="BR174" s="377"/>
      <c r="BS174" s="377"/>
      <c r="BT174" s="377"/>
      <c r="BU174" s="374"/>
      <c r="BV174" s="245">
        <f t="shared" si="256"/>
        <v>0</v>
      </c>
      <c r="BX174" s="43"/>
      <c r="BY174" s="24"/>
      <c r="BZ174" s="24"/>
      <c r="CA174" s="24"/>
      <c r="CB174" s="25"/>
      <c r="CC174" s="82"/>
      <c r="CD174" s="246"/>
      <c r="CE174" s="245">
        <f>SUM(BX174:CB174)</f>
        <v>0</v>
      </c>
      <c r="CF174" s="380"/>
      <c r="CG174" s="377"/>
      <c r="CH174" s="377"/>
      <c r="CI174" s="377"/>
      <c r="CJ174" s="377"/>
      <c r="CK174" s="377"/>
      <c r="CL174" s="374"/>
      <c r="CM174" s="245">
        <f t="shared" si="258"/>
        <v>0</v>
      </c>
      <c r="CN174" s="39"/>
      <c r="CO174" s="3"/>
      <c r="CP174" s="75">
        <f t="shared" si="259"/>
        <v>0</v>
      </c>
      <c r="CQ174" s="3"/>
      <c r="CR174" s="76">
        <f t="shared" si="260"/>
        <v>0</v>
      </c>
      <c r="CT174" s="76">
        <f t="shared" si="233"/>
        <v>0</v>
      </c>
    </row>
    <row r="175" spans="1:98" ht="15" customHeight="1" thickBot="1" x14ac:dyDescent="0.25">
      <c r="A175" s="393"/>
      <c r="B175" s="223"/>
      <c r="C175" s="224"/>
      <c r="D175" s="225" t="s">
        <v>22</v>
      </c>
      <c r="E175" s="224"/>
      <c r="F175" s="325"/>
      <c r="H175" s="141"/>
      <c r="I175" s="142"/>
      <c r="J175" s="142"/>
      <c r="K175" s="142"/>
      <c r="L175" s="142"/>
      <c r="M175" s="227"/>
      <c r="N175" s="228"/>
      <c r="O175" s="229">
        <f>SUM(O166:O174)</f>
        <v>0</v>
      </c>
      <c r="P175" s="230"/>
      <c r="Q175" s="230"/>
      <c r="R175" s="230"/>
      <c r="S175" s="230"/>
      <c r="T175" s="230"/>
      <c r="U175" s="230"/>
      <c r="V175" s="228"/>
      <c r="W175" s="229">
        <f>SUM(W166:W174)</f>
        <v>0</v>
      </c>
      <c r="Y175" s="141"/>
      <c r="Z175" s="142"/>
      <c r="AA175" s="142"/>
      <c r="AB175" s="142"/>
      <c r="AC175" s="142"/>
      <c r="AD175" s="227"/>
      <c r="AE175" s="228"/>
      <c r="AF175" s="229">
        <f>SUM(AF166:AF174)</f>
        <v>0</v>
      </c>
      <c r="AG175" s="230"/>
      <c r="AH175" s="230"/>
      <c r="AI175" s="230"/>
      <c r="AJ175" s="230"/>
      <c r="AK175" s="230"/>
      <c r="AL175" s="230"/>
      <c r="AM175" s="228"/>
      <c r="AN175" s="229">
        <f>SUM(AN166:AN174)</f>
        <v>0</v>
      </c>
      <c r="AP175" s="141"/>
      <c r="AQ175" s="142"/>
      <c r="AR175" s="142"/>
      <c r="AS175" s="142"/>
      <c r="AT175" s="142"/>
      <c r="AU175" s="227"/>
      <c r="AV175" s="228"/>
      <c r="AW175" s="229">
        <f>SUM(AW166:AW174)</f>
        <v>0</v>
      </c>
      <c r="AX175" s="230"/>
      <c r="AY175" s="230"/>
      <c r="AZ175" s="230"/>
      <c r="BA175" s="230"/>
      <c r="BB175" s="230"/>
      <c r="BC175" s="230"/>
      <c r="BD175" s="228"/>
      <c r="BE175" s="229">
        <f>SUM(BE166:BE174)</f>
        <v>0</v>
      </c>
      <c r="BG175" s="141"/>
      <c r="BH175" s="142"/>
      <c r="BI175" s="142"/>
      <c r="BJ175" s="142"/>
      <c r="BK175" s="142"/>
      <c r="BL175" s="227"/>
      <c r="BM175" s="228"/>
      <c r="BN175" s="229">
        <f>SUM(BN166:BN174)</f>
        <v>0</v>
      </c>
      <c r="BO175" s="230"/>
      <c r="BP175" s="230"/>
      <c r="BQ175" s="230"/>
      <c r="BR175" s="230"/>
      <c r="BS175" s="230"/>
      <c r="BT175" s="230"/>
      <c r="BU175" s="228"/>
      <c r="BV175" s="229">
        <f>SUM(BV166:BV174)</f>
        <v>0</v>
      </c>
      <c r="BX175" s="141"/>
      <c r="BY175" s="142"/>
      <c r="BZ175" s="142"/>
      <c r="CA175" s="142"/>
      <c r="CB175" s="142"/>
      <c r="CC175" s="227"/>
      <c r="CD175" s="228"/>
      <c r="CE175" s="229">
        <f>SUM(CE166:CE174)</f>
        <v>0</v>
      </c>
      <c r="CF175" s="230"/>
      <c r="CG175" s="230"/>
      <c r="CH175" s="230"/>
      <c r="CI175" s="230"/>
      <c r="CJ175" s="230"/>
      <c r="CK175" s="230"/>
      <c r="CL175" s="228"/>
      <c r="CM175" s="229">
        <f>SUM(CM166:CM174)</f>
        <v>0</v>
      </c>
      <c r="CN175" s="39"/>
      <c r="CO175" s="3"/>
      <c r="CP175" s="217">
        <f>SUM(CP166:CP174)</f>
        <v>0</v>
      </c>
      <c r="CQ175" s="3"/>
      <c r="CR175" s="217">
        <f>SUM(CR166:CR174)</f>
        <v>0</v>
      </c>
      <c r="CT175" s="217"/>
    </row>
    <row r="176" spans="1:98" ht="15" customHeight="1" x14ac:dyDescent="0.2">
      <c r="A176" s="391" t="s">
        <v>230</v>
      </c>
      <c r="B176" s="421" t="s">
        <v>228</v>
      </c>
      <c r="C176" s="236" t="s">
        <v>269</v>
      </c>
      <c r="D176" s="250" t="s">
        <v>541</v>
      </c>
      <c r="E176" s="236" t="s">
        <v>19</v>
      </c>
      <c r="F176" s="304">
        <f>F1*(0.0052*(1.014*1.012*1.015)*1.1/1.12)*1.028</f>
        <v>5.596847550182458E-3</v>
      </c>
      <c r="H176" s="41"/>
      <c r="I176" s="46"/>
      <c r="J176" s="46"/>
      <c r="K176" s="46"/>
      <c r="L176" s="47"/>
      <c r="M176" s="92">
        <f>SUM(H176:L176)</f>
        <v>0</v>
      </c>
      <c r="N176" s="193">
        <v>1</v>
      </c>
      <c r="O176" s="238">
        <f t="shared" ref="O176:O189" si="263">$F176*M176*N176</f>
        <v>0</v>
      </c>
      <c r="P176" s="378">
        <f>VLOOKUP(P5,'Databaze rizik'!$K$2:$Z$6,12,FALSE)/100+1</f>
        <v>1.1100000000000001</v>
      </c>
      <c r="Q176" s="375">
        <f>VLOOKUP(Q5,'Databaze rizik'!$K$21:$Z$25,12,FALSE)/100+1</f>
        <v>1.04</v>
      </c>
      <c r="R176" s="375">
        <f>VLOOKUP(R5,'Databaze rizik'!$K$41:$Z$45,12,FALSE)/100+1</f>
        <v>1</v>
      </c>
      <c r="S176" s="375">
        <f>VLOOKUP(S5,'Databaze rizik'!$K$61:$Z$66,12,FALSE)/100+1</f>
        <v>1.02</v>
      </c>
      <c r="T176" s="375">
        <f>VLOOKUP(T5,'Databaze rizik'!$K$81:$Z$85,12,FALSE)/100+1</f>
        <v>1.01</v>
      </c>
      <c r="U176" s="375">
        <f>VLOOKUP(U5,'Databaze rizik'!$K$101:$Z$105,12,FALSE)/100+1</f>
        <v>1</v>
      </c>
      <c r="V176" s="372">
        <f t="shared" ref="V176" si="264">P176*Q176*R176*S176*T176*U176</f>
        <v>1.18926288</v>
      </c>
      <c r="W176" s="238">
        <f>O176*V$176</f>
        <v>0</v>
      </c>
      <c r="Y176" s="41"/>
      <c r="Z176" s="46"/>
      <c r="AA176" s="46"/>
      <c r="AB176" s="46"/>
      <c r="AC176" s="47"/>
      <c r="AD176" s="92">
        <f>SUM(Y176:AC176)</f>
        <v>0</v>
      </c>
      <c r="AE176" s="193">
        <v>1</v>
      </c>
      <c r="AF176" s="238">
        <f t="shared" ref="AF176:AF189" si="265">$F176*AD176*AE176</f>
        <v>0</v>
      </c>
      <c r="AG176" s="378">
        <f>VLOOKUP(AG5,'Databaze rizik'!$K$2:$Z$6,12,FALSE)/100+1</f>
        <v>1.1100000000000001</v>
      </c>
      <c r="AH176" s="375">
        <f>VLOOKUP(AH5,'Databaze rizik'!$K$21:$Z$25,12,FALSE)/100+1</f>
        <v>1.04</v>
      </c>
      <c r="AI176" s="375">
        <f>VLOOKUP(AI5,'Databaze rizik'!$K$41:$Z$45,12,FALSE)/100+1</f>
        <v>1</v>
      </c>
      <c r="AJ176" s="375">
        <f>VLOOKUP(AJ5,'Databaze rizik'!$K$61:$Z$66,12,FALSE)/100+1</f>
        <v>1.02</v>
      </c>
      <c r="AK176" s="375">
        <f>VLOOKUP(AK5,'Databaze rizik'!$K$81:$Z$85,12,FALSE)/100+1</f>
        <v>1.01</v>
      </c>
      <c r="AL176" s="375">
        <f>VLOOKUP(AL5,'Databaze rizik'!$K$101:$Z$105,12,FALSE)/100+1</f>
        <v>1</v>
      </c>
      <c r="AM176" s="372">
        <f t="shared" ref="AM176" si="266">AG176*AH176*AI176*AJ176*AK176*AL176</f>
        <v>1.18926288</v>
      </c>
      <c r="AN176" s="238">
        <f>AF176*AM$176</f>
        <v>0</v>
      </c>
      <c r="AP176" s="41"/>
      <c r="AQ176" s="46"/>
      <c r="AR176" s="46"/>
      <c r="AS176" s="46"/>
      <c r="AT176" s="47"/>
      <c r="AU176" s="92">
        <f>SUM(AP176:AT176)</f>
        <v>0</v>
      </c>
      <c r="AV176" s="193">
        <v>1</v>
      </c>
      <c r="AW176" s="238">
        <f t="shared" ref="AW176:AW189" si="267">$F176*AU176*AV176</f>
        <v>0</v>
      </c>
      <c r="AX176" s="378">
        <f>VLOOKUP(AX5,'Databaze rizik'!$K$2:$Z$6,12,FALSE)/100+1</f>
        <v>1.1100000000000001</v>
      </c>
      <c r="AY176" s="375">
        <f>VLOOKUP(AY5,'Databaze rizik'!$K$21:$Z$25,12,FALSE)/100+1</f>
        <v>1.04</v>
      </c>
      <c r="AZ176" s="375">
        <f>VLOOKUP(AZ5,'Databaze rizik'!$K$41:$Z$45,12,FALSE)/100+1</f>
        <v>1</v>
      </c>
      <c r="BA176" s="375">
        <f>VLOOKUP(BA5,'Databaze rizik'!$K$61:$Z$66,12,FALSE)/100+1</f>
        <v>1.02</v>
      </c>
      <c r="BB176" s="375">
        <f>VLOOKUP(BB5,'Databaze rizik'!$K$81:$Z$85,12,FALSE)/100+1</f>
        <v>1.01</v>
      </c>
      <c r="BC176" s="375">
        <f>VLOOKUP(BC5,'Databaze rizik'!$K$101:$Z$105,12,FALSE)/100+1</f>
        <v>1</v>
      </c>
      <c r="BD176" s="372">
        <f t="shared" ref="BD176" si="268">AX176*AY176*AZ176*BA176*BB176*BC176</f>
        <v>1.18926288</v>
      </c>
      <c r="BE176" s="238">
        <f>AW176*BD$176</f>
        <v>0</v>
      </c>
      <c r="BG176" s="41"/>
      <c r="BH176" s="46"/>
      <c r="BI176" s="46"/>
      <c r="BJ176" s="46"/>
      <c r="BK176" s="47"/>
      <c r="BL176" s="92">
        <f>SUM(BG176:BK176)</f>
        <v>0</v>
      </c>
      <c r="BM176" s="193">
        <v>1</v>
      </c>
      <c r="BN176" s="238">
        <f t="shared" ref="BN176:BN189" si="269">$F176*BL176*BM176</f>
        <v>0</v>
      </c>
      <c r="BO176" s="378">
        <f>VLOOKUP(BO5,'Databaze rizik'!$K$2:$Z$6,12,FALSE)/100+1</f>
        <v>1</v>
      </c>
      <c r="BP176" s="375">
        <f>VLOOKUP(BP5,'Databaze rizik'!$K$21:$Z$25,12,FALSE)/100+1</f>
        <v>1</v>
      </c>
      <c r="BQ176" s="375">
        <f>VLOOKUP(BQ5,'Databaze rizik'!$K$41:$Z$45,12,FALSE)/100+1</f>
        <v>1</v>
      </c>
      <c r="BR176" s="375">
        <f>VLOOKUP(BR5,'Databaze rizik'!$K$61:$Z$66,12,FALSE)/100+1</f>
        <v>1.02</v>
      </c>
      <c r="BS176" s="375">
        <f>VLOOKUP(BS5,'Databaze rizik'!$K$81:$Z$85,12,FALSE)/100+1</f>
        <v>1.01</v>
      </c>
      <c r="BT176" s="375">
        <f>VLOOKUP(BT5,'Databaze rizik'!$K$101:$Z$105,12,FALSE)/100+1</f>
        <v>1</v>
      </c>
      <c r="BU176" s="372">
        <f t="shared" ref="BU176" si="270">BO176*BP176*BQ176*BR176*BS176*BT176</f>
        <v>1.0302</v>
      </c>
      <c r="BV176" s="238">
        <f>BN176*BU$176</f>
        <v>0</v>
      </c>
      <c r="BX176" s="41"/>
      <c r="BY176" s="46"/>
      <c r="BZ176" s="46"/>
      <c r="CA176" s="46"/>
      <c r="CB176" s="47"/>
      <c r="CC176" s="92">
        <f>SUM(BX176:CB176)</f>
        <v>0</v>
      </c>
      <c r="CD176" s="193">
        <v>1</v>
      </c>
      <c r="CE176" s="238">
        <f t="shared" ref="CE176:CE189" si="271">$F176*CC176*CD176</f>
        <v>0</v>
      </c>
      <c r="CF176" s="378">
        <f>VLOOKUP(CF5,'Databaze rizik'!$K$2:$Z$6,12,FALSE)/100+1</f>
        <v>1</v>
      </c>
      <c r="CG176" s="375">
        <f>VLOOKUP(CG5,'Databaze rizik'!$K$21:$Z$25,12,FALSE)/100+1</f>
        <v>1</v>
      </c>
      <c r="CH176" s="375">
        <f>VLOOKUP(CH5,'Databaze rizik'!$K$41:$Z$45,12,FALSE)/100+1</f>
        <v>1</v>
      </c>
      <c r="CI176" s="375">
        <f>VLOOKUP(CI5,'Databaze rizik'!$K$61:$Z$66,12,FALSE)/100+1</f>
        <v>1.02</v>
      </c>
      <c r="CJ176" s="375">
        <f>VLOOKUP(CJ5,'Databaze rizik'!$K$81:$Z$85,12,FALSE)/100+1</f>
        <v>1.01</v>
      </c>
      <c r="CK176" s="375">
        <f>VLOOKUP(CK5,'Databaze rizik'!$K$101:$Z$105,12,FALSE)/100+1</f>
        <v>1</v>
      </c>
      <c r="CL176" s="372">
        <f t="shared" ref="CL176" si="272">CF176*CG176*CH176*CI176*CJ176*CK176</f>
        <v>1.0302</v>
      </c>
      <c r="CM176" s="238">
        <f>CE176*CL$176</f>
        <v>0</v>
      </c>
      <c r="CN176" s="39"/>
      <c r="CO176" s="3"/>
      <c r="CP176" s="77">
        <f t="shared" ref="CP176:CP191" si="273">SUMIF(H$1:CM$1,1,H176:CM176)</f>
        <v>0</v>
      </c>
      <c r="CQ176" s="3"/>
      <c r="CR176" s="77">
        <f t="shared" ref="CR176:CR191" si="274">SUMIF(H$1:CM$1,2,H176:CM176)</f>
        <v>0</v>
      </c>
      <c r="CT176" s="77">
        <f t="shared" si="233"/>
        <v>0</v>
      </c>
    </row>
    <row r="177" spans="1:98" ht="15" customHeight="1" x14ac:dyDescent="0.2">
      <c r="A177" s="392"/>
      <c r="B177" s="416"/>
      <c r="C177" s="234" t="s">
        <v>270</v>
      </c>
      <c r="D177" s="242" t="s">
        <v>94</v>
      </c>
      <c r="E177" s="234" t="s">
        <v>19</v>
      </c>
      <c r="F177" s="301">
        <f>F1*(0.004*(1.014*1.012*1.015)*1.1/1.12)*1.028</f>
        <v>4.3052673462941997E-3</v>
      </c>
      <c r="H177" s="43"/>
      <c r="I177" s="24"/>
      <c r="J177" s="24"/>
      <c r="K177" s="24"/>
      <c r="L177" s="25"/>
      <c r="M177" s="82">
        <f t="shared" ref="M177:M189" si="275">SUM(H177:L177)</f>
        <v>0</v>
      </c>
      <c r="N177" s="198">
        <v>1</v>
      </c>
      <c r="O177" s="245">
        <f t="shared" si="263"/>
        <v>0</v>
      </c>
      <c r="P177" s="379"/>
      <c r="Q177" s="376"/>
      <c r="R177" s="376"/>
      <c r="S177" s="376"/>
      <c r="T177" s="376"/>
      <c r="U177" s="376"/>
      <c r="V177" s="373"/>
      <c r="W177" s="245">
        <f t="shared" ref="W177:W191" si="276">O177*V$176</f>
        <v>0</v>
      </c>
      <c r="Y177" s="43"/>
      <c r="Z177" s="24"/>
      <c r="AA177" s="24"/>
      <c r="AB177" s="24"/>
      <c r="AC177" s="25"/>
      <c r="AD177" s="82">
        <f t="shared" ref="AD177:AD189" si="277">SUM(Y177:AC177)</f>
        <v>0</v>
      </c>
      <c r="AE177" s="198">
        <v>1</v>
      </c>
      <c r="AF177" s="245">
        <f t="shared" si="265"/>
        <v>0</v>
      </c>
      <c r="AG177" s="379"/>
      <c r="AH177" s="376"/>
      <c r="AI177" s="376"/>
      <c r="AJ177" s="376"/>
      <c r="AK177" s="376"/>
      <c r="AL177" s="376"/>
      <c r="AM177" s="373"/>
      <c r="AN177" s="245">
        <f t="shared" ref="AN177:AN191" si="278">AF177*AM$176</f>
        <v>0</v>
      </c>
      <c r="AP177" s="43"/>
      <c r="AQ177" s="24"/>
      <c r="AR177" s="24"/>
      <c r="AS177" s="24"/>
      <c r="AT177" s="25"/>
      <c r="AU177" s="82">
        <f t="shared" ref="AU177:AU189" si="279">SUM(AP177:AT177)</f>
        <v>0</v>
      </c>
      <c r="AV177" s="198">
        <v>1</v>
      </c>
      <c r="AW177" s="245">
        <f t="shared" si="267"/>
        <v>0</v>
      </c>
      <c r="AX177" s="379"/>
      <c r="AY177" s="376"/>
      <c r="AZ177" s="376"/>
      <c r="BA177" s="376"/>
      <c r="BB177" s="376"/>
      <c r="BC177" s="376"/>
      <c r="BD177" s="373"/>
      <c r="BE177" s="245">
        <f t="shared" ref="BE177:BE191" si="280">AW177*BD$176</f>
        <v>0</v>
      </c>
      <c r="BG177" s="43"/>
      <c r="BH177" s="24"/>
      <c r="BI177" s="24"/>
      <c r="BJ177" s="24"/>
      <c r="BK177" s="25"/>
      <c r="BL177" s="82">
        <f t="shared" ref="BL177:BL189" si="281">SUM(BG177:BK177)</f>
        <v>0</v>
      </c>
      <c r="BM177" s="198">
        <v>1</v>
      </c>
      <c r="BN177" s="245">
        <f t="shared" si="269"/>
        <v>0</v>
      </c>
      <c r="BO177" s="379"/>
      <c r="BP177" s="376"/>
      <c r="BQ177" s="376"/>
      <c r="BR177" s="376"/>
      <c r="BS177" s="376"/>
      <c r="BT177" s="376"/>
      <c r="BU177" s="373"/>
      <c r="BV177" s="245">
        <f t="shared" ref="BV177:BV191" si="282">BN177*BU$176</f>
        <v>0</v>
      </c>
      <c r="BX177" s="43"/>
      <c r="BY177" s="24"/>
      <c r="BZ177" s="24"/>
      <c r="CA177" s="24"/>
      <c r="CB177" s="25"/>
      <c r="CC177" s="82">
        <f t="shared" ref="CC177:CC189" si="283">SUM(BX177:CB177)</f>
        <v>0</v>
      </c>
      <c r="CD177" s="198">
        <v>1</v>
      </c>
      <c r="CE177" s="245">
        <f t="shared" si="271"/>
        <v>0</v>
      </c>
      <c r="CF177" s="379"/>
      <c r="CG177" s="376"/>
      <c r="CH177" s="376"/>
      <c r="CI177" s="376"/>
      <c r="CJ177" s="376"/>
      <c r="CK177" s="376"/>
      <c r="CL177" s="373"/>
      <c r="CM177" s="245">
        <f t="shared" ref="CM177:CM191" si="284">CE177*CL$176</f>
        <v>0</v>
      </c>
      <c r="CN177" s="39"/>
      <c r="CO177" s="3"/>
      <c r="CP177" s="75">
        <f t="shared" si="273"/>
        <v>0</v>
      </c>
      <c r="CQ177" s="3"/>
      <c r="CR177" s="76">
        <f t="shared" si="274"/>
        <v>0</v>
      </c>
      <c r="CT177" s="76">
        <f t="shared" si="233"/>
        <v>0</v>
      </c>
    </row>
    <row r="178" spans="1:98" ht="15" customHeight="1" x14ac:dyDescent="0.2">
      <c r="A178" s="392"/>
      <c r="B178" s="416"/>
      <c r="C178" s="234" t="s">
        <v>271</v>
      </c>
      <c r="D178" s="242" t="s">
        <v>225</v>
      </c>
      <c r="E178" s="234" t="s">
        <v>19</v>
      </c>
      <c r="F178" s="301">
        <f>F1*(0.00315*(1.014*1.012*1.015)*1.1/1.12)*1.028</f>
        <v>3.390398035206682E-3</v>
      </c>
      <c r="H178" s="43"/>
      <c r="I178" s="24"/>
      <c r="J178" s="24"/>
      <c r="K178" s="24"/>
      <c r="L178" s="25"/>
      <c r="M178" s="82">
        <f t="shared" si="275"/>
        <v>0</v>
      </c>
      <c r="N178" s="198">
        <v>1</v>
      </c>
      <c r="O178" s="245">
        <f t="shared" si="263"/>
        <v>0</v>
      </c>
      <c r="P178" s="379"/>
      <c r="Q178" s="376"/>
      <c r="R178" s="376"/>
      <c r="S178" s="376"/>
      <c r="T178" s="376"/>
      <c r="U178" s="376"/>
      <c r="V178" s="373"/>
      <c r="W178" s="245">
        <f t="shared" si="276"/>
        <v>0</v>
      </c>
      <c r="Y178" s="43"/>
      <c r="Z178" s="24"/>
      <c r="AA178" s="24"/>
      <c r="AB178" s="24"/>
      <c r="AC178" s="25"/>
      <c r="AD178" s="82">
        <f t="shared" si="277"/>
        <v>0</v>
      </c>
      <c r="AE178" s="198">
        <v>1</v>
      </c>
      <c r="AF178" s="245">
        <f t="shared" si="265"/>
        <v>0</v>
      </c>
      <c r="AG178" s="379"/>
      <c r="AH178" s="376"/>
      <c r="AI178" s="376"/>
      <c r="AJ178" s="376"/>
      <c r="AK178" s="376"/>
      <c r="AL178" s="376"/>
      <c r="AM178" s="373"/>
      <c r="AN178" s="245">
        <f t="shared" si="278"/>
        <v>0</v>
      </c>
      <c r="AP178" s="43"/>
      <c r="AQ178" s="24"/>
      <c r="AR178" s="24"/>
      <c r="AS178" s="24"/>
      <c r="AT178" s="25"/>
      <c r="AU178" s="82">
        <f t="shared" si="279"/>
        <v>0</v>
      </c>
      <c r="AV178" s="198">
        <v>1</v>
      </c>
      <c r="AW178" s="245">
        <f t="shared" si="267"/>
        <v>0</v>
      </c>
      <c r="AX178" s="379"/>
      <c r="AY178" s="376"/>
      <c r="AZ178" s="376"/>
      <c r="BA178" s="376"/>
      <c r="BB178" s="376"/>
      <c r="BC178" s="376"/>
      <c r="BD178" s="373"/>
      <c r="BE178" s="245">
        <f t="shared" si="280"/>
        <v>0</v>
      </c>
      <c r="BG178" s="43"/>
      <c r="BH178" s="24"/>
      <c r="BI178" s="24"/>
      <c r="BJ178" s="24"/>
      <c r="BK178" s="25"/>
      <c r="BL178" s="82">
        <f t="shared" si="281"/>
        <v>0</v>
      </c>
      <c r="BM178" s="198">
        <v>1</v>
      </c>
      <c r="BN178" s="245">
        <f t="shared" si="269"/>
        <v>0</v>
      </c>
      <c r="BO178" s="379"/>
      <c r="BP178" s="376"/>
      <c r="BQ178" s="376"/>
      <c r="BR178" s="376"/>
      <c r="BS178" s="376"/>
      <c r="BT178" s="376"/>
      <c r="BU178" s="373"/>
      <c r="BV178" s="245">
        <f t="shared" si="282"/>
        <v>0</v>
      </c>
      <c r="BX178" s="43"/>
      <c r="BY178" s="24"/>
      <c r="BZ178" s="24"/>
      <c r="CA178" s="24"/>
      <c r="CB178" s="25"/>
      <c r="CC178" s="82">
        <f t="shared" si="283"/>
        <v>0</v>
      </c>
      <c r="CD178" s="198">
        <v>1</v>
      </c>
      <c r="CE178" s="245">
        <f t="shared" si="271"/>
        <v>0</v>
      </c>
      <c r="CF178" s="379"/>
      <c r="CG178" s="376"/>
      <c r="CH178" s="376"/>
      <c r="CI178" s="376"/>
      <c r="CJ178" s="376"/>
      <c r="CK178" s="376"/>
      <c r="CL178" s="373"/>
      <c r="CM178" s="245">
        <f t="shared" si="284"/>
        <v>0</v>
      </c>
      <c r="CN178" s="39"/>
      <c r="CO178" s="3"/>
      <c r="CP178" s="75">
        <f t="shared" si="273"/>
        <v>0</v>
      </c>
      <c r="CQ178" s="3"/>
      <c r="CR178" s="76">
        <f t="shared" si="274"/>
        <v>0</v>
      </c>
      <c r="CT178" s="76">
        <f t="shared" si="233"/>
        <v>0</v>
      </c>
    </row>
    <row r="179" spans="1:98" ht="15" customHeight="1" x14ac:dyDescent="0.2">
      <c r="A179" s="392"/>
      <c r="B179" s="416"/>
      <c r="C179" s="234" t="s">
        <v>272</v>
      </c>
      <c r="D179" s="242" t="s">
        <v>360</v>
      </c>
      <c r="E179" s="234" t="s">
        <v>19</v>
      </c>
      <c r="F179" s="301">
        <f>F1*(0.00245*(1.014*1.012*1.015)*1.1/1.12)*1.028</f>
        <v>2.6369762496051968E-3</v>
      </c>
      <c r="H179" s="43"/>
      <c r="I179" s="24"/>
      <c r="J179" s="24"/>
      <c r="K179" s="24"/>
      <c r="L179" s="25"/>
      <c r="M179" s="82">
        <f t="shared" si="275"/>
        <v>0</v>
      </c>
      <c r="N179" s="198">
        <v>1</v>
      </c>
      <c r="O179" s="245">
        <f t="shared" si="263"/>
        <v>0</v>
      </c>
      <c r="P179" s="379"/>
      <c r="Q179" s="376"/>
      <c r="R179" s="376"/>
      <c r="S179" s="376"/>
      <c r="T179" s="376"/>
      <c r="U179" s="376"/>
      <c r="V179" s="373"/>
      <c r="W179" s="245">
        <f t="shared" si="276"/>
        <v>0</v>
      </c>
      <c r="Y179" s="43"/>
      <c r="Z179" s="24"/>
      <c r="AA179" s="24"/>
      <c r="AB179" s="24"/>
      <c r="AC179" s="25"/>
      <c r="AD179" s="82">
        <f t="shared" si="277"/>
        <v>0</v>
      </c>
      <c r="AE179" s="198">
        <v>1</v>
      </c>
      <c r="AF179" s="245">
        <f t="shared" si="265"/>
        <v>0</v>
      </c>
      <c r="AG179" s="379"/>
      <c r="AH179" s="376"/>
      <c r="AI179" s="376"/>
      <c r="AJ179" s="376"/>
      <c r="AK179" s="376"/>
      <c r="AL179" s="376"/>
      <c r="AM179" s="373"/>
      <c r="AN179" s="245">
        <f t="shared" si="278"/>
        <v>0</v>
      </c>
      <c r="AP179" s="43"/>
      <c r="AQ179" s="24"/>
      <c r="AR179" s="24"/>
      <c r="AS179" s="24"/>
      <c r="AT179" s="25"/>
      <c r="AU179" s="82">
        <f t="shared" si="279"/>
        <v>0</v>
      </c>
      <c r="AV179" s="198">
        <v>1</v>
      </c>
      <c r="AW179" s="245">
        <f t="shared" si="267"/>
        <v>0</v>
      </c>
      <c r="AX179" s="379"/>
      <c r="AY179" s="376"/>
      <c r="AZ179" s="376"/>
      <c r="BA179" s="376"/>
      <c r="BB179" s="376"/>
      <c r="BC179" s="376"/>
      <c r="BD179" s="373"/>
      <c r="BE179" s="245">
        <f t="shared" si="280"/>
        <v>0</v>
      </c>
      <c r="BG179" s="43"/>
      <c r="BH179" s="24"/>
      <c r="BI179" s="24"/>
      <c r="BJ179" s="24"/>
      <c r="BK179" s="25"/>
      <c r="BL179" s="82">
        <f t="shared" si="281"/>
        <v>0</v>
      </c>
      <c r="BM179" s="198">
        <v>1</v>
      </c>
      <c r="BN179" s="245">
        <f t="shared" si="269"/>
        <v>0</v>
      </c>
      <c r="BO179" s="379"/>
      <c r="BP179" s="376"/>
      <c r="BQ179" s="376"/>
      <c r="BR179" s="376"/>
      <c r="BS179" s="376"/>
      <c r="BT179" s="376"/>
      <c r="BU179" s="373"/>
      <c r="BV179" s="245">
        <f t="shared" si="282"/>
        <v>0</v>
      </c>
      <c r="BX179" s="43"/>
      <c r="BY179" s="24"/>
      <c r="BZ179" s="24"/>
      <c r="CA179" s="24"/>
      <c r="CB179" s="25"/>
      <c r="CC179" s="82">
        <f t="shared" si="283"/>
        <v>0</v>
      </c>
      <c r="CD179" s="198">
        <v>1</v>
      </c>
      <c r="CE179" s="245">
        <f t="shared" si="271"/>
        <v>0</v>
      </c>
      <c r="CF179" s="379"/>
      <c r="CG179" s="376"/>
      <c r="CH179" s="376"/>
      <c r="CI179" s="376"/>
      <c r="CJ179" s="376"/>
      <c r="CK179" s="376"/>
      <c r="CL179" s="373"/>
      <c r="CM179" s="245">
        <f t="shared" si="284"/>
        <v>0</v>
      </c>
      <c r="CN179" s="39"/>
      <c r="CO179" s="3"/>
      <c r="CP179" s="75">
        <f t="shared" si="273"/>
        <v>0</v>
      </c>
      <c r="CQ179" s="3"/>
      <c r="CR179" s="76">
        <f t="shared" si="274"/>
        <v>0</v>
      </c>
      <c r="CT179" s="76">
        <f t="shared" si="233"/>
        <v>0</v>
      </c>
    </row>
    <row r="180" spans="1:98" ht="15" customHeight="1" x14ac:dyDescent="0.2">
      <c r="A180" s="392"/>
      <c r="B180" s="416"/>
      <c r="C180" s="234" t="s">
        <v>273</v>
      </c>
      <c r="D180" s="242" t="s">
        <v>226</v>
      </c>
      <c r="E180" s="251" t="s">
        <v>19</v>
      </c>
      <c r="F180" s="301">
        <f>F1*(0.0023*(1.014*1.012*1.015)*1.1/1.12)*1.028</f>
        <v>2.4755287241191646E-3</v>
      </c>
      <c r="H180" s="43"/>
      <c r="I180" s="24"/>
      <c r="J180" s="24"/>
      <c r="K180" s="24"/>
      <c r="L180" s="25"/>
      <c r="M180" s="82">
        <f t="shared" si="275"/>
        <v>0</v>
      </c>
      <c r="N180" s="198">
        <v>1</v>
      </c>
      <c r="O180" s="245">
        <f t="shared" si="263"/>
        <v>0</v>
      </c>
      <c r="P180" s="379"/>
      <c r="Q180" s="376"/>
      <c r="R180" s="376"/>
      <c r="S180" s="376"/>
      <c r="T180" s="376"/>
      <c r="U180" s="376"/>
      <c r="V180" s="373"/>
      <c r="W180" s="245">
        <f t="shared" si="276"/>
        <v>0</v>
      </c>
      <c r="Y180" s="43"/>
      <c r="Z180" s="24"/>
      <c r="AA180" s="24"/>
      <c r="AB180" s="24"/>
      <c r="AC180" s="25"/>
      <c r="AD180" s="82">
        <f t="shared" si="277"/>
        <v>0</v>
      </c>
      <c r="AE180" s="198">
        <v>1</v>
      </c>
      <c r="AF180" s="245">
        <f t="shared" si="265"/>
        <v>0</v>
      </c>
      <c r="AG180" s="379"/>
      <c r="AH180" s="376"/>
      <c r="AI180" s="376"/>
      <c r="AJ180" s="376"/>
      <c r="AK180" s="376"/>
      <c r="AL180" s="376"/>
      <c r="AM180" s="373"/>
      <c r="AN180" s="245">
        <f t="shared" si="278"/>
        <v>0</v>
      </c>
      <c r="AP180" s="43"/>
      <c r="AQ180" s="24"/>
      <c r="AR180" s="24"/>
      <c r="AS180" s="24"/>
      <c r="AT180" s="25"/>
      <c r="AU180" s="82">
        <f t="shared" si="279"/>
        <v>0</v>
      </c>
      <c r="AV180" s="198">
        <v>1</v>
      </c>
      <c r="AW180" s="245">
        <f t="shared" si="267"/>
        <v>0</v>
      </c>
      <c r="AX180" s="379"/>
      <c r="AY180" s="376"/>
      <c r="AZ180" s="376"/>
      <c r="BA180" s="376"/>
      <c r="BB180" s="376"/>
      <c r="BC180" s="376"/>
      <c r="BD180" s="373"/>
      <c r="BE180" s="245">
        <f t="shared" si="280"/>
        <v>0</v>
      </c>
      <c r="BG180" s="43"/>
      <c r="BH180" s="24"/>
      <c r="BI180" s="24"/>
      <c r="BJ180" s="24"/>
      <c r="BK180" s="25"/>
      <c r="BL180" s="82">
        <f t="shared" si="281"/>
        <v>0</v>
      </c>
      <c r="BM180" s="198">
        <v>1</v>
      </c>
      <c r="BN180" s="245">
        <f t="shared" si="269"/>
        <v>0</v>
      </c>
      <c r="BO180" s="379"/>
      <c r="BP180" s="376"/>
      <c r="BQ180" s="376"/>
      <c r="BR180" s="376"/>
      <c r="BS180" s="376"/>
      <c r="BT180" s="376"/>
      <c r="BU180" s="373"/>
      <c r="BV180" s="245">
        <f t="shared" si="282"/>
        <v>0</v>
      </c>
      <c r="BX180" s="43"/>
      <c r="BY180" s="24"/>
      <c r="BZ180" s="24"/>
      <c r="CA180" s="24"/>
      <c r="CB180" s="25"/>
      <c r="CC180" s="82">
        <f t="shared" si="283"/>
        <v>0</v>
      </c>
      <c r="CD180" s="198">
        <v>1</v>
      </c>
      <c r="CE180" s="245">
        <f t="shared" si="271"/>
        <v>0</v>
      </c>
      <c r="CF180" s="379"/>
      <c r="CG180" s="376"/>
      <c r="CH180" s="376"/>
      <c r="CI180" s="376"/>
      <c r="CJ180" s="376"/>
      <c r="CK180" s="376"/>
      <c r="CL180" s="373"/>
      <c r="CM180" s="245">
        <f t="shared" si="284"/>
        <v>0</v>
      </c>
      <c r="CN180" s="39"/>
      <c r="CO180" s="3"/>
      <c r="CP180" s="75">
        <f t="shared" si="273"/>
        <v>0</v>
      </c>
      <c r="CQ180" s="3"/>
      <c r="CR180" s="76">
        <f t="shared" si="274"/>
        <v>0</v>
      </c>
      <c r="CT180" s="76">
        <f t="shared" si="233"/>
        <v>0</v>
      </c>
    </row>
    <row r="181" spans="1:98" ht="15" customHeight="1" x14ac:dyDescent="0.2">
      <c r="A181" s="392"/>
      <c r="B181" s="416"/>
      <c r="C181" s="234" t="s">
        <v>274</v>
      </c>
      <c r="D181" s="242" t="s">
        <v>95</v>
      </c>
      <c r="E181" s="251" t="s">
        <v>19</v>
      </c>
      <c r="F181" s="301">
        <f>F1*(0.002*(1.014*1.012*1.015)*1.1/1.12)*1.028</f>
        <v>2.1526336731470998E-3</v>
      </c>
      <c r="H181" s="43"/>
      <c r="I181" s="24"/>
      <c r="J181" s="24"/>
      <c r="K181" s="24"/>
      <c r="L181" s="25"/>
      <c r="M181" s="82">
        <f t="shared" ref="M181" si="285">SUM(H181:L181)</f>
        <v>0</v>
      </c>
      <c r="N181" s="198">
        <v>1</v>
      </c>
      <c r="O181" s="245">
        <f t="shared" ref="O181" si="286">$F181*M181*N181</f>
        <v>0</v>
      </c>
      <c r="P181" s="379"/>
      <c r="Q181" s="376"/>
      <c r="R181" s="376"/>
      <c r="S181" s="376"/>
      <c r="T181" s="376"/>
      <c r="U181" s="376"/>
      <c r="V181" s="373"/>
      <c r="W181" s="245">
        <f t="shared" si="276"/>
        <v>0</v>
      </c>
      <c r="Y181" s="43">
        <v>140</v>
      </c>
      <c r="Z181" s="24"/>
      <c r="AA181" s="24"/>
      <c r="AB181" s="24"/>
      <c r="AC181" s="25"/>
      <c r="AD181" s="82">
        <f t="shared" ref="AD181" si="287">SUM(Y181:AC181)</f>
        <v>140</v>
      </c>
      <c r="AE181" s="198">
        <v>1</v>
      </c>
      <c r="AF181" s="245">
        <f t="shared" ref="AF181" si="288">$F181*AD181*AE181</f>
        <v>0.30136871424059397</v>
      </c>
      <c r="AG181" s="379"/>
      <c r="AH181" s="376"/>
      <c r="AI181" s="376"/>
      <c r="AJ181" s="376"/>
      <c r="AK181" s="376"/>
      <c r="AL181" s="376"/>
      <c r="AM181" s="373"/>
      <c r="AN181" s="245">
        <f t="shared" si="278"/>
        <v>0.3584066250396658</v>
      </c>
      <c r="AP181" s="43"/>
      <c r="AQ181" s="24"/>
      <c r="AR181" s="24"/>
      <c r="AS181" s="24"/>
      <c r="AT181" s="25"/>
      <c r="AU181" s="82">
        <f t="shared" ref="AU181" si="289">SUM(AP181:AT181)</f>
        <v>0</v>
      </c>
      <c r="AV181" s="198">
        <v>1</v>
      </c>
      <c r="AW181" s="245">
        <f t="shared" ref="AW181" si="290">$F181*AU181*AV181</f>
        <v>0</v>
      </c>
      <c r="AX181" s="379"/>
      <c r="AY181" s="376"/>
      <c r="AZ181" s="376"/>
      <c r="BA181" s="376"/>
      <c r="BB181" s="376"/>
      <c r="BC181" s="376"/>
      <c r="BD181" s="373"/>
      <c r="BE181" s="245">
        <f t="shared" si="280"/>
        <v>0</v>
      </c>
      <c r="BG181" s="43"/>
      <c r="BH181" s="24"/>
      <c r="BI181" s="24"/>
      <c r="BJ181" s="24"/>
      <c r="BK181" s="25"/>
      <c r="BL181" s="82">
        <f t="shared" ref="BL181" si="291">SUM(BG181:BK181)</f>
        <v>0</v>
      </c>
      <c r="BM181" s="198">
        <v>1</v>
      </c>
      <c r="BN181" s="245">
        <f t="shared" ref="BN181" si="292">$F181*BL181*BM181</f>
        <v>0</v>
      </c>
      <c r="BO181" s="379"/>
      <c r="BP181" s="376"/>
      <c r="BQ181" s="376"/>
      <c r="BR181" s="376"/>
      <c r="BS181" s="376"/>
      <c r="BT181" s="376"/>
      <c r="BU181" s="373"/>
      <c r="BV181" s="245">
        <f t="shared" si="282"/>
        <v>0</v>
      </c>
      <c r="BX181" s="43"/>
      <c r="BY181" s="24"/>
      <c r="BZ181" s="24"/>
      <c r="CA181" s="24"/>
      <c r="CB181" s="25"/>
      <c r="CC181" s="82">
        <f t="shared" ref="CC181" si="293">SUM(BX181:CB181)</f>
        <v>0</v>
      </c>
      <c r="CD181" s="198">
        <v>1</v>
      </c>
      <c r="CE181" s="245">
        <f t="shared" ref="CE181" si="294">$F181*CC181*CD181</f>
        <v>0</v>
      </c>
      <c r="CF181" s="379"/>
      <c r="CG181" s="376"/>
      <c r="CH181" s="376"/>
      <c r="CI181" s="376"/>
      <c r="CJ181" s="376"/>
      <c r="CK181" s="376"/>
      <c r="CL181" s="373"/>
      <c r="CM181" s="245">
        <f t="shared" si="284"/>
        <v>0</v>
      </c>
      <c r="CN181" s="39"/>
      <c r="CO181" s="3"/>
      <c r="CP181" s="75">
        <f t="shared" si="273"/>
        <v>0.30136871424059397</v>
      </c>
      <c r="CQ181" s="3"/>
      <c r="CR181" s="76">
        <f t="shared" si="274"/>
        <v>0.3584066250396658</v>
      </c>
      <c r="CT181" s="76">
        <f t="shared" si="233"/>
        <v>140</v>
      </c>
    </row>
    <row r="182" spans="1:98" ht="15" customHeight="1" x14ac:dyDescent="0.2">
      <c r="A182" s="392"/>
      <c r="B182" s="417"/>
      <c r="C182" s="234" t="s">
        <v>275</v>
      </c>
      <c r="D182" s="242" t="s">
        <v>539</v>
      </c>
      <c r="E182" s="251" t="s">
        <v>19</v>
      </c>
      <c r="F182" s="301">
        <f>F1*(0.0019*(1.014*1.012*1.015)*1.1/1.12)*1.028</f>
        <v>2.0450019894897452E-3</v>
      </c>
      <c r="H182" s="43"/>
      <c r="I182" s="24"/>
      <c r="J182" s="24"/>
      <c r="K182" s="24"/>
      <c r="L182" s="25"/>
      <c r="M182" s="82">
        <f t="shared" si="275"/>
        <v>0</v>
      </c>
      <c r="N182" s="198">
        <v>1</v>
      </c>
      <c r="O182" s="245">
        <f t="shared" si="263"/>
        <v>0</v>
      </c>
      <c r="P182" s="379"/>
      <c r="Q182" s="376"/>
      <c r="R182" s="376"/>
      <c r="S182" s="376"/>
      <c r="T182" s="376"/>
      <c r="U182" s="376"/>
      <c r="V182" s="373"/>
      <c r="W182" s="245">
        <f t="shared" si="276"/>
        <v>0</v>
      </c>
      <c r="Y182" s="43"/>
      <c r="Z182" s="24"/>
      <c r="AA182" s="24"/>
      <c r="AB182" s="24"/>
      <c r="AC182" s="25"/>
      <c r="AD182" s="82">
        <f t="shared" si="277"/>
        <v>0</v>
      </c>
      <c r="AE182" s="198">
        <v>1</v>
      </c>
      <c r="AF182" s="245">
        <f t="shared" si="265"/>
        <v>0</v>
      </c>
      <c r="AG182" s="379"/>
      <c r="AH182" s="376"/>
      <c r="AI182" s="376"/>
      <c r="AJ182" s="376"/>
      <c r="AK182" s="376"/>
      <c r="AL182" s="376"/>
      <c r="AM182" s="373"/>
      <c r="AN182" s="245">
        <f t="shared" si="278"/>
        <v>0</v>
      </c>
      <c r="AP182" s="43"/>
      <c r="AQ182" s="24"/>
      <c r="AR182" s="24"/>
      <c r="AS182" s="24"/>
      <c r="AT182" s="25"/>
      <c r="AU182" s="82">
        <f t="shared" si="279"/>
        <v>0</v>
      </c>
      <c r="AV182" s="198">
        <v>1</v>
      </c>
      <c r="AW182" s="245">
        <f t="shared" si="267"/>
        <v>0</v>
      </c>
      <c r="AX182" s="379"/>
      <c r="AY182" s="376"/>
      <c r="AZ182" s="376"/>
      <c r="BA182" s="376"/>
      <c r="BB182" s="376"/>
      <c r="BC182" s="376"/>
      <c r="BD182" s="373"/>
      <c r="BE182" s="245">
        <f t="shared" si="280"/>
        <v>0</v>
      </c>
      <c r="BG182" s="43"/>
      <c r="BH182" s="24"/>
      <c r="BI182" s="24"/>
      <c r="BJ182" s="24"/>
      <c r="BK182" s="25"/>
      <c r="BL182" s="82">
        <f t="shared" si="281"/>
        <v>0</v>
      </c>
      <c r="BM182" s="198">
        <v>1</v>
      </c>
      <c r="BN182" s="245">
        <f t="shared" si="269"/>
        <v>0</v>
      </c>
      <c r="BO182" s="379"/>
      <c r="BP182" s="376"/>
      <c r="BQ182" s="376"/>
      <c r="BR182" s="376"/>
      <c r="BS182" s="376"/>
      <c r="BT182" s="376"/>
      <c r="BU182" s="373"/>
      <c r="BV182" s="245">
        <f t="shared" si="282"/>
        <v>0</v>
      </c>
      <c r="BX182" s="43"/>
      <c r="BY182" s="24"/>
      <c r="BZ182" s="24"/>
      <c r="CA182" s="24"/>
      <c r="CB182" s="25"/>
      <c r="CC182" s="82">
        <f t="shared" si="283"/>
        <v>0</v>
      </c>
      <c r="CD182" s="198">
        <v>1</v>
      </c>
      <c r="CE182" s="245">
        <f t="shared" si="271"/>
        <v>0</v>
      </c>
      <c r="CF182" s="379"/>
      <c r="CG182" s="376"/>
      <c r="CH182" s="376"/>
      <c r="CI182" s="376"/>
      <c r="CJ182" s="376"/>
      <c r="CK182" s="376"/>
      <c r="CL182" s="373"/>
      <c r="CM182" s="245">
        <f t="shared" si="284"/>
        <v>0</v>
      </c>
      <c r="CN182" s="39"/>
      <c r="CO182" s="3"/>
      <c r="CP182" s="75">
        <f t="shared" si="273"/>
        <v>0</v>
      </c>
      <c r="CQ182" s="3"/>
      <c r="CR182" s="76">
        <f t="shared" si="274"/>
        <v>0</v>
      </c>
      <c r="CT182" s="76">
        <f t="shared" si="233"/>
        <v>0</v>
      </c>
    </row>
    <row r="183" spans="1:98" ht="15" customHeight="1" x14ac:dyDescent="0.2">
      <c r="A183" s="392"/>
      <c r="B183" s="415" t="s">
        <v>229</v>
      </c>
      <c r="C183" s="234" t="s">
        <v>276</v>
      </c>
      <c r="D183" s="242" t="s">
        <v>56</v>
      </c>
      <c r="E183" s="251" t="s">
        <v>18</v>
      </c>
      <c r="F183" s="301">
        <f>F1*(0.00075*(1.014*1.012*1.015)*1.1/1.12)*1.028</f>
        <v>8.0723762743016233E-4</v>
      </c>
      <c r="H183" s="43"/>
      <c r="I183" s="24"/>
      <c r="J183" s="24"/>
      <c r="K183" s="24"/>
      <c r="L183" s="25"/>
      <c r="M183" s="82">
        <f t="shared" si="275"/>
        <v>0</v>
      </c>
      <c r="N183" s="198">
        <v>1</v>
      </c>
      <c r="O183" s="245">
        <f t="shared" si="263"/>
        <v>0</v>
      </c>
      <c r="P183" s="379"/>
      <c r="Q183" s="376"/>
      <c r="R183" s="376"/>
      <c r="S183" s="376"/>
      <c r="T183" s="376"/>
      <c r="U183" s="376"/>
      <c r="V183" s="373"/>
      <c r="W183" s="245">
        <f t="shared" si="276"/>
        <v>0</v>
      </c>
      <c r="Y183" s="43">
        <v>105</v>
      </c>
      <c r="Z183" s="24"/>
      <c r="AA183" s="24"/>
      <c r="AB183" s="24"/>
      <c r="AC183" s="25"/>
      <c r="AD183" s="82">
        <f t="shared" si="277"/>
        <v>105</v>
      </c>
      <c r="AE183" s="198">
        <v>1</v>
      </c>
      <c r="AF183" s="245">
        <f t="shared" si="265"/>
        <v>8.4759950880167051E-2</v>
      </c>
      <c r="AG183" s="379"/>
      <c r="AH183" s="376"/>
      <c r="AI183" s="376"/>
      <c r="AJ183" s="376"/>
      <c r="AK183" s="376"/>
      <c r="AL183" s="376"/>
      <c r="AM183" s="373"/>
      <c r="AN183" s="245">
        <f t="shared" si="278"/>
        <v>0.10080186329240601</v>
      </c>
      <c r="AP183" s="43"/>
      <c r="AQ183" s="24"/>
      <c r="AR183" s="24"/>
      <c r="AS183" s="24"/>
      <c r="AT183" s="25"/>
      <c r="AU183" s="82">
        <f t="shared" si="279"/>
        <v>0</v>
      </c>
      <c r="AV183" s="198">
        <v>1</v>
      </c>
      <c r="AW183" s="245">
        <f t="shared" si="267"/>
        <v>0</v>
      </c>
      <c r="AX183" s="379"/>
      <c r="AY183" s="376"/>
      <c r="AZ183" s="376"/>
      <c r="BA183" s="376"/>
      <c r="BB183" s="376"/>
      <c r="BC183" s="376"/>
      <c r="BD183" s="373"/>
      <c r="BE183" s="245">
        <f t="shared" si="280"/>
        <v>0</v>
      </c>
      <c r="BG183" s="43"/>
      <c r="BH183" s="24"/>
      <c r="BI183" s="24"/>
      <c r="BJ183" s="24"/>
      <c r="BK183" s="25"/>
      <c r="BL183" s="82">
        <f t="shared" si="281"/>
        <v>0</v>
      </c>
      <c r="BM183" s="198">
        <v>1</v>
      </c>
      <c r="BN183" s="245">
        <f t="shared" si="269"/>
        <v>0</v>
      </c>
      <c r="BO183" s="379"/>
      <c r="BP183" s="376"/>
      <c r="BQ183" s="376"/>
      <c r="BR183" s="376"/>
      <c r="BS183" s="376"/>
      <c r="BT183" s="376"/>
      <c r="BU183" s="373"/>
      <c r="BV183" s="245">
        <f t="shared" si="282"/>
        <v>0</v>
      </c>
      <c r="BX183" s="43"/>
      <c r="BY183" s="24"/>
      <c r="BZ183" s="24"/>
      <c r="CA183" s="24"/>
      <c r="CB183" s="25"/>
      <c r="CC183" s="82">
        <f t="shared" si="283"/>
        <v>0</v>
      </c>
      <c r="CD183" s="198">
        <v>1</v>
      </c>
      <c r="CE183" s="245">
        <f t="shared" si="271"/>
        <v>0</v>
      </c>
      <c r="CF183" s="379"/>
      <c r="CG183" s="376"/>
      <c r="CH183" s="376"/>
      <c r="CI183" s="376"/>
      <c r="CJ183" s="376"/>
      <c r="CK183" s="376"/>
      <c r="CL183" s="373"/>
      <c r="CM183" s="245">
        <f t="shared" si="284"/>
        <v>0</v>
      </c>
      <c r="CN183" s="39"/>
      <c r="CO183" s="3"/>
      <c r="CP183" s="75">
        <f t="shared" si="273"/>
        <v>8.4759950880167051E-2</v>
      </c>
      <c r="CQ183" s="3"/>
      <c r="CR183" s="76">
        <f t="shared" si="274"/>
        <v>0.10080186329240601</v>
      </c>
      <c r="CT183" s="76">
        <f t="shared" si="233"/>
        <v>105</v>
      </c>
    </row>
    <row r="184" spans="1:98" ht="15" customHeight="1" x14ac:dyDescent="0.2">
      <c r="A184" s="392"/>
      <c r="B184" s="416"/>
      <c r="C184" s="234" t="s">
        <v>277</v>
      </c>
      <c r="D184" s="242" t="s">
        <v>227</v>
      </c>
      <c r="E184" s="251" t="s">
        <v>18</v>
      </c>
      <c r="F184" s="301">
        <f>F1*(0.0008*(1.014*1.012*1.015)*1.1/1.12)*1.028</f>
        <v>8.6105346925883998E-4</v>
      </c>
      <c r="H184" s="43"/>
      <c r="I184" s="24"/>
      <c r="J184" s="24"/>
      <c r="K184" s="24"/>
      <c r="L184" s="25"/>
      <c r="M184" s="82">
        <f t="shared" si="275"/>
        <v>0</v>
      </c>
      <c r="N184" s="198">
        <v>1</v>
      </c>
      <c r="O184" s="245">
        <f t="shared" si="263"/>
        <v>0</v>
      </c>
      <c r="P184" s="379"/>
      <c r="Q184" s="376"/>
      <c r="R184" s="376"/>
      <c r="S184" s="376"/>
      <c r="T184" s="376"/>
      <c r="U184" s="376"/>
      <c r="V184" s="373"/>
      <c r="W184" s="245">
        <f t="shared" si="276"/>
        <v>0</v>
      </c>
      <c r="Y184" s="43">
        <v>35</v>
      </c>
      <c r="Z184" s="24"/>
      <c r="AA184" s="24"/>
      <c r="AB184" s="24"/>
      <c r="AC184" s="25"/>
      <c r="AD184" s="82">
        <f t="shared" si="277"/>
        <v>35</v>
      </c>
      <c r="AE184" s="198">
        <v>1</v>
      </c>
      <c r="AF184" s="245">
        <f t="shared" si="265"/>
        <v>3.0136871424059398E-2</v>
      </c>
      <c r="AG184" s="379"/>
      <c r="AH184" s="376"/>
      <c r="AI184" s="376"/>
      <c r="AJ184" s="376"/>
      <c r="AK184" s="376"/>
      <c r="AL184" s="376"/>
      <c r="AM184" s="373"/>
      <c r="AN184" s="245">
        <f t="shared" si="278"/>
        <v>3.5840662503966579E-2</v>
      </c>
      <c r="AP184" s="43"/>
      <c r="AQ184" s="24"/>
      <c r="AR184" s="24"/>
      <c r="AS184" s="24"/>
      <c r="AT184" s="25"/>
      <c r="AU184" s="82">
        <f t="shared" si="279"/>
        <v>0</v>
      </c>
      <c r="AV184" s="198">
        <v>1</v>
      </c>
      <c r="AW184" s="245">
        <f t="shared" si="267"/>
        <v>0</v>
      </c>
      <c r="AX184" s="379"/>
      <c r="AY184" s="376"/>
      <c r="AZ184" s="376"/>
      <c r="BA184" s="376"/>
      <c r="BB184" s="376"/>
      <c r="BC184" s="376"/>
      <c r="BD184" s="373"/>
      <c r="BE184" s="245">
        <f t="shared" si="280"/>
        <v>0</v>
      </c>
      <c r="BG184" s="43"/>
      <c r="BH184" s="24"/>
      <c r="BI184" s="24"/>
      <c r="BJ184" s="24"/>
      <c r="BK184" s="25"/>
      <c r="BL184" s="82">
        <f t="shared" si="281"/>
        <v>0</v>
      </c>
      <c r="BM184" s="198">
        <v>1</v>
      </c>
      <c r="BN184" s="245">
        <f t="shared" si="269"/>
        <v>0</v>
      </c>
      <c r="BO184" s="379"/>
      <c r="BP184" s="376"/>
      <c r="BQ184" s="376"/>
      <c r="BR184" s="376"/>
      <c r="BS184" s="376"/>
      <c r="BT184" s="376"/>
      <c r="BU184" s="373"/>
      <c r="BV184" s="245">
        <f t="shared" si="282"/>
        <v>0</v>
      </c>
      <c r="BX184" s="43"/>
      <c r="BY184" s="24"/>
      <c r="BZ184" s="24"/>
      <c r="CA184" s="24"/>
      <c r="CB184" s="25"/>
      <c r="CC184" s="82">
        <f t="shared" si="283"/>
        <v>0</v>
      </c>
      <c r="CD184" s="198">
        <v>1</v>
      </c>
      <c r="CE184" s="245">
        <f t="shared" si="271"/>
        <v>0</v>
      </c>
      <c r="CF184" s="379"/>
      <c r="CG184" s="376"/>
      <c r="CH184" s="376"/>
      <c r="CI184" s="376"/>
      <c r="CJ184" s="376"/>
      <c r="CK184" s="376"/>
      <c r="CL184" s="373"/>
      <c r="CM184" s="245">
        <f t="shared" si="284"/>
        <v>0</v>
      </c>
      <c r="CN184" s="39"/>
      <c r="CO184" s="3"/>
      <c r="CP184" s="75">
        <f t="shared" si="273"/>
        <v>3.0136871424059398E-2</v>
      </c>
      <c r="CQ184" s="3"/>
      <c r="CR184" s="76">
        <f t="shared" si="274"/>
        <v>3.5840662503966579E-2</v>
      </c>
      <c r="CT184" s="76">
        <f t="shared" si="233"/>
        <v>35</v>
      </c>
    </row>
    <row r="185" spans="1:98" ht="15" customHeight="1" x14ac:dyDescent="0.2">
      <c r="A185" s="392"/>
      <c r="B185" s="416"/>
      <c r="C185" s="234" t="s">
        <v>278</v>
      </c>
      <c r="D185" s="242" t="s">
        <v>435</v>
      </c>
      <c r="E185" s="251" t="s">
        <v>19</v>
      </c>
      <c r="F185" s="301">
        <f>F1*(0.06*(1.014*1.012*1.015)*1.1/1.12)*1.028</f>
        <v>6.4579010194412978E-2</v>
      </c>
      <c r="H185" s="43"/>
      <c r="I185" s="23"/>
      <c r="J185" s="23"/>
      <c r="K185" s="24"/>
      <c r="L185" s="25"/>
      <c r="M185" s="74">
        <f t="shared" ref="M185" si="295">SUM(H185:L185)</f>
        <v>0</v>
      </c>
      <c r="N185" s="198">
        <v>1</v>
      </c>
      <c r="O185" s="241">
        <f t="shared" si="263"/>
        <v>0</v>
      </c>
      <c r="P185" s="379"/>
      <c r="Q185" s="376"/>
      <c r="R185" s="376"/>
      <c r="S185" s="376"/>
      <c r="T185" s="376"/>
      <c r="U185" s="376"/>
      <c r="V185" s="373"/>
      <c r="W185" s="245">
        <f t="shared" si="276"/>
        <v>0</v>
      </c>
      <c r="Y185" s="43"/>
      <c r="Z185" s="23"/>
      <c r="AA185" s="23"/>
      <c r="AB185" s="24"/>
      <c r="AC185" s="25"/>
      <c r="AD185" s="74">
        <f t="shared" si="277"/>
        <v>0</v>
      </c>
      <c r="AE185" s="198">
        <v>1</v>
      </c>
      <c r="AF185" s="241">
        <f t="shared" si="265"/>
        <v>0</v>
      </c>
      <c r="AG185" s="379"/>
      <c r="AH185" s="376"/>
      <c r="AI185" s="376"/>
      <c r="AJ185" s="376"/>
      <c r="AK185" s="376"/>
      <c r="AL185" s="376"/>
      <c r="AM185" s="373"/>
      <c r="AN185" s="245">
        <f t="shared" si="278"/>
        <v>0</v>
      </c>
      <c r="AP185" s="43"/>
      <c r="AQ185" s="23"/>
      <c r="AR185" s="23"/>
      <c r="AS185" s="24"/>
      <c r="AT185" s="25"/>
      <c r="AU185" s="74">
        <f t="shared" si="279"/>
        <v>0</v>
      </c>
      <c r="AV185" s="198">
        <v>1</v>
      </c>
      <c r="AW185" s="241">
        <f t="shared" si="267"/>
        <v>0</v>
      </c>
      <c r="AX185" s="379"/>
      <c r="AY185" s="376"/>
      <c r="AZ185" s="376"/>
      <c r="BA185" s="376"/>
      <c r="BB185" s="376"/>
      <c r="BC185" s="376"/>
      <c r="BD185" s="373"/>
      <c r="BE185" s="245">
        <f t="shared" si="280"/>
        <v>0</v>
      </c>
      <c r="BG185" s="43"/>
      <c r="BH185" s="23"/>
      <c r="BI185" s="23"/>
      <c r="BJ185" s="24"/>
      <c r="BK185" s="25"/>
      <c r="BL185" s="74">
        <f t="shared" si="281"/>
        <v>0</v>
      </c>
      <c r="BM185" s="198">
        <v>1</v>
      </c>
      <c r="BN185" s="241">
        <f t="shared" si="269"/>
        <v>0</v>
      </c>
      <c r="BO185" s="379"/>
      <c r="BP185" s="376"/>
      <c r="BQ185" s="376"/>
      <c r="BR185" s="376"/>
      <c r="BS185" s="376"/>
      <c r="BT185" s="376"/>
      <c r="BU185" s="373"/>
      <c r="BV185" s="245">
        <f t="shared" si="282"/>
        <v>0</v>
      </c>
      <c r="BX185" s="43"/>
      <c r="BY185" s="23"/>
      <c r="BZ185" s="23"/>
      <c r="CA185" s="24"/>
      <c r="CB185" s="25"/>
      <c r="CC185" s="74">
        <f t="shared" si="283"/>
        <v>0</v>
      </c>
      <c r="CD185" s="198">
        <v>1</v>
      </c>
      <c r="CE185" s="241">
        <f t="shared" si="271"/>
        <v>0</v>
      </c>
      <c r="CF185" s="379"/>
      <c r="CG185" s="376"/>
      <c r="CH185" s="376"/>
      <c r="CI185" s="376"/>
      <c r="CJ185" s="376"/>
      <c r="CK185" s="376"/>
      <c r="CL185" s="373"/>
      <c r="CM185" s="245">
        <f t="shared" si="284"/>
        <v>0</v>
      </c>
      <c r="CN185" s="39"/>
      <c r="CO185" s="3"/>
      <c r="CP185" s="75">
        <f t="shared" si="273"/>
        <v>0</v>
      </c>
      <c r="CQ185" s="3"/>
      <c r="CR185" s="76">
        <f t="shared" si="274"/>
        <v>0</v>
      </c>
      <c r="CT185" s="76">
        <f t="shared" si="233"/>
        <v>0</v>
      </c>
    </row>
    <row r="186" spans="1:98" ht="15" customHeight="1" x14ac:dyDescent="0.2">
      <c r="A186" s="392"/>
      <c r="B186" s="417"/>
      <c r="C186" s="234" t="s">
        <v>279</v>
      </c>
      <c r="D186" s="242" t="s">
        <v>436</v>
      </c>
      <c r="E186" s="251" t="s">
        <v>19</v>
      </c>
      <c r="F186" s="301">
        <f>F1*(0.02*(1.014*1.012*1.015)*1.1/1.12)*1.028</f>
        <v>2.1526336731470995E-2</v>
      </c>
      <c r="H186" s="43"/>
      <c r="I186" s="24"/>
      <c r="J186" s="24"/>
      <c r="K186" s="24"/>
      <c r="L186" s="25"/>
      <c r="M186" s="82">
        <f t="shared" si="275"/>
        <v>0</v>
      </c>
      <c r="N186" s="198">
        <v>1</v>
      </c>
      <c r="O186" s="245">
        <f t="shared" si="263"/>
        <v>0</v>
      </c>
      <c r="P186" s="379"/>
      <c r="Q186" s="376"/>
      <c r="R186" s="376"/>
      <c r="S186" s="376"/>
      <c r="T186" s="376"/>
      <c r="U186" s="376"/>
      <c r="V186" s="373"/>
      <c r="W186" s="245">
        <f t="shared" si="276"/>
        <v>0</v>
      </c>
      <c r="Y186" s="43"/>
      <c r="Z186" s="24"/>
      <c r="AA186" s="24"/>
      <c r="AB186" s="24"/>
      <c r="AC186" s="25"/>
      <c r="AD186" s="82">
        <f t="shared" si="277"/>
        <v>0</v>
      </c>
      <c r="AE186" s="198">
        <v>1</v>
      </c>
      <c r="AF186" s="245">
        <f t="shared" si="265"/>
        <v>0</v>
      </c>
      <c r="AG186" s="379"/>
      <c r="AH186" s="376"/>
      <c r="AI186" s="376"/>
      <c r="AJ186" s="376"/>
      <c r="AK186" s="376"/>
      <c r="AL186" s="376"/>
      <c r="AM186" s="373"/>
      <c r="AN186" s="245">
        <f t="shared" si="278"/>
        <v>0</v>
      </c>
      <c r="AP186" s="43"/>
      <c r="AQ186" s="24"/>
      <c r="AR186" s="24"/>
      <c r="AS186" s="24"/>
      <c r="AT186" s="25"/>
      <c r="AU186" s="82">
        <f t="shared" si="279"/>
        <v>0</v>
      </c>
      <c r="AV186" s="198">
        <v>1</v>
      </c>
      <c r="AW186" s="245">
        <f t="shared" si="267"/>
        <v>0</v>
      </c>
      <c r="AX186" s="379"/>
      <c r="AY186" s="376"/>
      <c r="AZ186" s="376"/>
      <c r="BA186" s="376"/>
      <c r="BB186" s="376"/>
      <c r="BC186" s="376"/>
      <c r="BD186" s="373"/>
      <c r="BE186" s="245">
        <f t="shared" si="280"/>
        <v>0</v>
      </c>
      <c r="BG186" s="43"/>
      <c r="BH186" s="24"/>
      <c r="BI186" s="24"/>
      <c r="BJ186" s="24"/>
      <c r="BK186" s="25"/>
      <c r="BL186" s="82">
        <f t="shared" si="281"/>
        <v>0</v>
      </c>
      <c r="BM186" s="198">
        <v>1</v>
      </c>
      <c r="BN186" s="245">
        <f t="shared" si="269"/>
        <v>0</v>
      </c>
      <c r="BO186" s="379"/>
      <c r="BP186" s="376"/>
      <c r="BQ186" s="376"/>
      <c r="BR186" s="376"/>
      <c r="BS186" s="376"/>
      <c r="BT186" s="376"/>
      <c r="BU186" s="373"/>
      <c r="BV186" s="245">
        <f t="shared" si="282"/>
        <v>0</v>
      </c>
      <c r="BX186" s="43"/>
      <c r="BY186" s="24"/>
      <c r="BZ186" s="24"/>
      <c r="CA186" s="24"/>
      <c r="CB186" s="25"/>
      <c r="CC186" s="82">
        <f t="shared" si="283"/>
        <v>0</v>
      </c>
      <c r="CD186" s="198">
        <v>1</v>
      </c>
      <c r="CE186" s="245">
        <f t="shared" si="271"/>
        <v>0</v>
      </c>
      <c r="CF186" s="379"/>
      <c r="CG186" s="376"/>
      <c r="CH186" s="376"/>
      <c r="CI186" s="376"/>
      <c r="CJ186" s="376"/>
      <c r="CK186" s="376"/>
      <c r="CL186" s="373"/>
      <c r="CM186" s="245">
        <f t="shared" si="284"/>
        <v>0</v>
      </c>
      <c r="CN186" s="39"/>
      <c r="CO186" s="3"/>
      <c r="CP186" s="75">
        <f t="shared" si="273"/>
        <v>0</v>
      </c>
      <c r="CQ186" s="3"/>
      <c r="CR186" s="76">
        <f t="shared" si="274"/>
        <v>0</v>
      </c>
      <c r="CT186" s="76">
        <f t="shared" si="233"/>
        <v>0</v>
      </c>
    </row>
    <row r="187" spans="1:98" ht="15" customHeight="1" x14ac:dyDescent="0.2">
      <c r="A187" s="392"/>
      <c r="B187" s="394" t="s">
        <v>41</v>
      </c>
      <c r="C187" s="234" t="s">
        <v>280</v>
      </c>
      <c r="D187" s="201" t="s">
        <v>357</v>
      </c>
      <c r="E187" s="202"/>
      <c r="F187" s="322"/>
      <c r="H187" s="43"/>
      <c r="I187" s="24"/>
      <c r="J187" s="24"/>
      <c r="K187" s="24"/>
      <c r="L187" s="25"/>
      <c r="M187" s="82">
        <f t="shared" si="275"/>
        <v>0</v>
      </c>
      <c r="N187" s="198">
        <v>1</v>
      </c>
      <c r="O187" s="245">
        <f t="shared" si="263"/>
        <v>0</v>
      </c>
      <c r="P187" s="379"/>
      <c r="Q187" s="376"/>
      <c r="R187" s="376"/>
      <c r="S187" s="376"/>
      <c r="T187" s="376"/>
      <c r="U187" s="376"/>
      <c r="V187" s="373"/>
      <c r="W187" s="245">
        <f t="shared" si="276"/>
        <v>0</v>
      </c>
      <c r="Y187" s="43"/>
      <c r="Z187" s="24"/>
      <c r="AA187" s="24"/>
      <c r="AB187" s="24"/>
      <c r="AC187" s="25"/>
      <c r="AD187" s="82">
        <f t="shared" si="277"/>
        <v>0</v>
      </c>
      <c r="AE187" s="198">
        <v>1</v>
      </c>
      <c r="AF187" s="245">
        <f t="shared" si="265"/>
        <v>0</v>
      </c>
      <c r="AG187" s="379"/>
      <c r="AH187" s="376"/>
      <c r="AI187" s="376"/>
      <c r="AJ187" s="376"/>
      <c r="AK187" s="376"/>
      <c r="AL187" s="376"/>
      <c r="AM187" s="373"/>
      <c r="AN187" s="245">
        <f t="shared" si="278"/>
        <v>0</v>
      </c>
      <c r="AP187" s="43"/>
      <c r="AQ187" s="24"/>
      <c r="AR187" s="24"/>
      <c r="AS187" s="24"/>
      <c r="AT187" s="25"/>
      <c r="AU187" s="82">
        <f t="shared" si="279"/>
        <v>0</v>
      </c>
      <c r="AV187" s="198">
        <v>1</v>
      </c>
      <c r="AW187" s="245">
        <f t="shared" si="267"/>
        <v>0</v>
      </c>
      <c r="AX187" s="379"/>
      <c r="AY187" s="376"/>
      <c r="AZ187" s="376"/>
      <c r="BA187" s="376"/>
      <c r="BB187" s="376"/>
      <c r="BC187" s="376"/>
      <c r="BD187" s="373"/>
      <c r="BE187" s="245">
        <f t="shared" si="280"/>
        <v>0</v>
      </c>
      <c r="BG187" s="43"/>
      <c r="BH187" s="24"/>
      <c r="BI187" s="24"/>
      <c r="BJ187" s="24"/>
      <c r="BK187" s="25"/>
      <c r="BL187" s="82">
        <f t="shared" si="281"/>
        <v>0</v>
      </c>
      <c r="BM187" s="198">
        <v>1</v>
      </c>
      <c r="BN187" s="245">
        <f t="shared" si="269"/>
        <v>0</v>
      </c>
      <c r="BO187" s="379"/>
      <c r="BP187" s="376"/>
      <c r="BQ187" s="376"/>
      <c r="BR187" s="376"/>
      <c r="BS187" s="376"/>
      <c r="BT187" s="376"/>
      <c r="BU187" s="373"/>
      <c r="BV187" s="245">
        <f t="shared" si="282"/>
        <v>0</v>
      </c>
      <c r="BX187" s="43"/>
      <c r="BY187" s="24"/>
      <c r="BZ187" s="24"/>
      <c r="CA187" s="24"/>
      <c r="CB187" s="25"/>
      <c r="CC187" s="82">
        <f t="shared" si="283"/>
        <v>0</v>
      </c>
      <c r="CD187" s="198">
        <v>1</v>
      </c>
      <c r="CE187" s="245">
        <f t="shared" si="271"/>
        <v>0</v>
      </c>
      <c r="CF187" s="379"/>
      <c r="CG187" s="376"/>
      <c r="CH187" s="376"/>
      <c r="CI187" s="376"/>
      <c r="CJ187" s="376"/>
      <c r="CK187" s="376"/>
      <c r="CL187" s="373"/>
      <c r="CM187" s="245">
        <f t="shared" si="284"/>
        <v>0</v>
      </c>
      <c r="CN187" s="39"/>
      <c r="CO187" s="3"/>
      <c r="CP187" s="75">
        <f t="shared" si="273"/>
        <v>0</v>
      </c>
      <c r="CQ187" s="3"/>
      <c r="CR187" s="76">
        <f t="shared" si="274"/>
        <v>0</v>
      </c>
      <c r="CT187" s="76">
        <f t="shared" si="233"/>
        <v>0</v>
      </c>
    </row>
    <row r="188" spans="1:98" ht="15" customHeight="1" x14ac:dyDescent="0.2">
      <c r="A188" s="392"/>
      <c r="B188" s="395"/>
      <c r="C188" s="234" t="s">
        <v>281</v>
      </c>
      <c r="D188" s="201" t="s">
        <v>357</v>
      </c>
      <c r="E188" s="202"/>
      <c r="F188" s="322"/>
      <c r="H188" s="43"/>
      <c r="I188" s="24"/>
      <c r="J188" s="24"/>
      <c r="K188" s="24"/>
      <c r="L188" s="25"/>
      <c r="M188" s="82">
        <f t="shared" si="275"/>
        <v>0</v>
      </c>
      <c r="N188" s="198">
        <v>1</v>
      </c>
      <c r="O188" s="245">
        <f t="shared" si="263"/>
        <v>0</v>
      </c>
      <c r="P188" s="379"/>
      <c r="Q188" s="376"/>
      <c r="R188" s="376"/>
      <c r="S188" s="376"/>
      <c r="T188" s="376"/>
      <c r="U188" s="376"/>
      <c r="V188" s="373"/>
      <c r="W188" s="245">
        <f t="shared" si="276"/>
        <v>0</v>
      </c>
      <c r="Y188" s="43"/>
      <c r="Z188" s="24"/>
      <c r="AA188" s="24"/>
      <c r="AB188" s="24"/>
      <c r="AC188" s="25"/>
      <c r="AD188" s="82">
        <f t="shared" si="277"/>
        <v>0</v>
      </c>
      <c r="AE188" s="198">
        <v>1</v>
      </c>
      <c r="AF188" s="245">
        <f t="shared" si="265"/>
        <v>0</v>
      </c>
      <c r="AG188" s="379"/>
      <c r="AH188" s="376"/>
      <c r="AI188" s="376"/>
      <c r="AJ188" s="376"/>
      <c r="AK188" s="376"/>
      <c r="AL188" s="376"/>
      <c r="AM188" s="373"/>
      <c r="AN188" s="245">
        <f t="shared" si="278"/>
        <v>0</v>
      </c>
      <c r="AP188" s="43"/>
      <c r="AQ188" s="24"/>
      <c r="AR188" s="24"/>
      <c r="AS188" s="24"/>
      <c r="AT188" s="25"/>
      <c r="AU188" s="82">
        <f t="shared" si="279"/>
        <v>0</v>
      </c>
      <c r="AV188" s="198">
        <v>1</v>
      </c>
      <c r="AW188" s="245">
        <f t="shared" si="267"/>
        <v>0</v>
      </c>
      <c r="AX188" s="379"/>
      <c r="AY188" s="376"/>
      <c r="AZ188" s="376"/>
      <c r="BA188" s="376"/>
      <c r="BB188" s="376"/>
      <c r="BC188" s="376"/>
      <c r="BD188" s="373"/>
      <c r="BE188" s="245">
        <f t="shared" si="280"/>
        <v>0</v>
      </c>
      <c r="BG188" s="43"/>
      <c r="BH188" s="24"/>
      <c r="BI188" s="24"/>
      <c r="BJ188" s="24"/>
      <c r="BK188" s="25"/>
      <c r="BL188" s="82">
        <f t="shared" si="281"/>
        <v>0</v>
      </c>
      <c r="BM188" s="198">
        <v>1</v>
      </c>
      <c r="BN188" s="245">
        <f t="shared" si="269"/>
        <v>0</v>
      </c>
      <c r="BO188" s="379"/>
      <c r="BP188" s="376"/>
      <c r="BQ188" s="376"/>
      <c r="BR188" s="376"/>
      <c r="BS188" s="376"/>
      <c r="BT188" s="376"/>
      <c r="BU188" s="373"/>
      <c r="BV188" s="245">
        <f t="shared" si="282"/>
        <v>0</v>
      </c>
      <c r="BX188" s="43"/>
      <c r="BY188" s="24"/>
      <c r="BZ188" s="24"/>
      <c r="CA188" s="24"/>
      <c r="CB188" s="25"/>
      <c r="CC188" s="82">
        <f t="shared" si="283"/>
        <v>0</v>
      </c>
      <c r="CD188" s="198">
        <v>1</v>
      </c>
      <c r="CE188" s="245">
        <f t="shared" si="271"/>
        <v>0</v>
      </c>
      <c r="CF188" s="379"/>
      <c r="CG188" s="376"/>
      <c r="CH188" s="376"/>
      <c r="CI188" s="376"/>
      <c r="CJ188" s="376"/>
      <c r="CK188" s="376"/>
      <c r="CL188" s="373"/>
      <c r="CM188" s="245">
        <f t="shared" si="284"/>
        <v>0</v>
      </c>
      <c r="CN188" s="39"/>
      <c r="CO188" s="3"/>
      <c r="CP188" s="75">
        <f t="shared" si="273"/>
        <v>0</v>
      </c>
      <c r="CQ188" s="3"/>
      <c r="CR188" s="76">
        <f t="shared" si="274"/>
        <v>0</v>
      </c>
      <c r="CT188" s="76">
        <f t="shared" si="233"/>
        <v>0</v>
      </c>
    </row>
    <row r="189" spans="1:98" ht="15" customHeight="1" x14ac:dyDescent="0.2">
      <c r="A189" s="392"/>
      <c r="B189" s="395"/>
      <c r="C189" s="234" t="s">
        <v>282</v>
      </c>
      <c r="D189" s="201" t="s">
        <v>357</v>
      </c>
      <c r="E189" s="202"/>
      <c r="F189" s="322"/>
      <c r="H189" s="43"/>
      <c r="I189" s="24"/>
      <c r="J189" s="24"/>
      <c r="K189" s="24"/>
      <c r="L189" s="25"/>
      <c r="M189" s="82">
        <f t="shared" si="275"/>
        <v>0</v>
      </c>
      <c r="N189" s="198">
        <v>1</v>
      </c>
      <c r="O189" s="245">
        <f t="shared" si="263"/>
        <v>0</v>
      </c>
      <c r="P189" s="379"/>
      <c r="Q189" s="376"/>
      <c r="R189" s="376"/>
      <c r="S189" s="376"/>
      <c r="T189" s="376"/>
      <c r="U189" s="376"/>
      <c r="V189" s="373"/>
      <c r="W189" s="245">
        <f t="shared" si="276"/>
        <v>0</v>
      </c>
      <c r="Y189" s="43"/>
      <c r="Z189" s="24"/>
      <c r="AA189" s="24"/>
      <c r="AB189" s="24"/>
      <c r="AC189" s="25"/>
      <c r="AD189" s="82">
        <f t="shared" si="277"/>
        <v>0</v>
      </c>
      <c r="AE189" s="198">
        <v>1</v>
      </c>
      <c r="AF189" s="245">
        <f t="shared" si="265"/>
        <v>0</v>
      </c>
      <c r="AG189" s="379"/>
      <c r="AH189" s="376"/>
      <c r="AI189" s="376"/>
      <c r="AJ189" s="376"/>
      <c r="AK189" s="376"/>
      <c r="AL189" s="376"/>
      <c r="AM189" s="373"/>
      <c r="AN189" s="245">
        <f t="shared" si="278"/>
        <v>0</v>
      </c>
      <c r="AP189" s="43"/>
      <c r="AQ189" s="24"/>
      <c r="AR189" s="24"/>
      <c r="AS189" s="24"/>
      <c r="AT189" s="25"/>
      <c r="AU189" s="82">
        <f t="shared" si="279"/>
        <v>0</v>
      </c>
      <c r="AV189" s="198">
        <v>1</v>
      </c>
      <c r="AW189" s="245">
        <f t="shared" si="267"/>
        <v>0</v>
      </c>
      <c r="AX189" s="379"/>
      <c r="AY189" s="376"/>
      <c r="AZ189" s="376"/>
      <c r="BA189" s="376"/>
      <c r="BB189" s="376"/>
      <c r="BC189" s="376"/>
      <c r="BD189" s="373"/>
      <c r="BE189" s="245">
        <f t="shared" si="280"/>
        <v>0</v>
      </c>
      <c r="BG189" s="43"/>
      <c r="BH189" s="24"/>
      <c r="BI189" s="24"/>
      <c r="BJ189" s="24"/>
      <c r="BK189" s="25"/>
      <c r="BL189" s="82">
        <f t="shared" si="281"/>
        <v>0</v>
      </c>
      <c r="BM189" s="198">
        <v>1</v>
      </c>
      <c r="BN189" s="245">
        <f t="shared" si="269"/>
        <v>0</v>
      </c>
      <c r="BO189" s="379"/>
      <c r="BP189" s="376"/>
      <c r="BQ189" s="376"/>
      <c r="BR189" s="376"/>
      <c r="BS189" s="376"/>
      <c r="BT189" s="376"/>
      <c r="BU189" s="373"/>
      <c r="BV189" s="245">
        <f t="shared" si="282"/>
        <v>0</v>
      </c>
      <c r="BX189" s="43"/>
      <c r="BY189" s="24"/>
      <c r="BZ189" s="24"/>
      <c r="CA189" s="24"/>
      <c r="CB189" s="25"/>
      <c r="CC189" s="82">
        <f t="shared" si="283"/>
        <v>0</v>
      </c>
      <c r="CD189" s="198">
        <v>1</v>
      </c>
      <c r="CE189" s="245">
        <f t="shared" si="271"/>
        <v>0</v>
      </c>
      <c r="CF189" s="379"/>
      <c r="CG189" s="376"/>
      <c r="CH189" s="376"/>
      <c r="CI189" s="376"/>
      <c r="CJ189" s="376"/>
      <c r="CK189" s="376"/>
      <c r="CL189" s="373"/>
      <c r="CM189" s="245">
        <f t="shared" si="284"/>
        <v>0</v>
      </c>
      <c r="CN189" s="39"/>
      <c r="CO189" s="3"/>
      <c r="CP189" s="75">
        <f t="shared" si="273"/>
        <v>0</v>
      </c>
      <c r="CQ189" s="3"/>
      <c r="CR189" s="76">
        <f t="shared" si="274"/>
        <v>0</v>
      </c>
      <c r="CT189" s="76">
        <f t="shared" si="233"/>
        <v>0</v>
      </c>
    </row>
    <row r="190" spans="1:98" ht="15" customHeight="1" x14ac:dyDescent="0.2">
      <c r="A190" s="392"/>
      <c r="B190" s="395"/>
      <c r="C190" s="234" t="s">
        <v>283</v>
      </c>
      <c r="D190" s="204" t="s">
        <v>215</v>
      </c>
      <c r="E190" s="205" t="s">
        <v>10</v>
      </c>
      <c r="F190" s="323"/>
      <c r="H190" s="43"/>
      <c r="I190" s="24"/>
      <c r="J190" s="24"/>
      <c r="K190" s="24"/>
      <c r="L190" s="25"/>
      <c r="M190" s="82"/>
      <c r="N190" s="246"/>
      <c r="O190" s="245">
        <f>SUM(H190:L190)</f>
        <v>0</v>
      </c>
      <c r="P190" s="379"/>
      <c r="Q190" s="376"/>
      <c r="R190" s="376"/>
      <c r="S190" s="376"/>
      <c r="T190" s="376"/>
      <c r="U190" s="376"/>
      <c r="V190" s="373"/>
      <c r="W190" s="245">
        <f t="shared" si="276"/>
        <v>0</v>
      </c>
      <c r="Y190" s="43"/>
      <c r="Z190" s="24"/>
      <c r="AA190" s="24"/>
      <c r="AB190" s="24"/>
      <c r="AC190" s="25"/>
      <c r="AD190" s="82"/>
      <c r="AE190" s="246"/>
      <c r="AF190" s="245">
        <f>SUM(Y190:AC190)</f>
        <v>0</v>
      </c>
      <c r="AG190" s="379"/>
      <c r="AH190" s="376"/>
      <c r="AI190" s="376"/>
      <c r="AJ190" s="376"/>
      <c r="AK190" s="376"/>
      <c r="AL190" s="376"/>
      <c r="AM190" s="373"/>
      <c r="AN190" s="245">
        <f t="shared" si="278"/>
        <v>0</v>
      </c>
      <c r="AP190" s="43"/>
      <c r="AQ190" s="24"/>
      <c r="AR190" s="24"/>
      <c r="AS190" s="24"/>
      <c r="AT190" s="25"/>
      <c r="AU190" s="82"/>
      <c r="AV190" s="246"/>
      <c r="AW190" s="245">
        <f>SUM(AP190:AT190)</f>
        <v>0</v>
      </c>
      <c r="AX190" s="379"/>
      <c r="AY190" s="376"/>
      <c r="AZ190" s="376"/>
      <c r="BA190" s="376"/>
      <c r="BB190" s="376"/>
      <c r="BC190" s="376"/>
      <c r="BD190" s="373"/>
      <c r="BE190" s="245">
        <f t="shared" si="280"/>
        <v>0</v>
      </c>
      <c r="BG190" s="43"/>
      <c r="BH190" s="24"/>
      <c r="BI190" s="24"/>
      <c r="BJ190" s="24"/>
      <c r="BK190" s="25"/>
      <c r="BL190" s="82"/>
      <c r="BM190" s="246"/>
      <c r="BN190" s="245">
        <f>SUM(BG190:BK190)</f>
        <v>0</v>
      </c>
      <c r="BO190" s="379"/>
      <c r="BP190" s="376"/>
      <c r="BQ190" s="376"/>
      <c r="BR190" s="376"/>
      <c r="BS190" s="376"/>
      <c r="BT190" s="376"/>
      <c r="BU190" s="373"/>
      <c r="BV190" s="245">
        <f t="shared" si="282"/>
        <v>0</v>
      </c>
      <c r="BX190" s="43"/>
      <c r="BY190" s="24"/>
      <c r="BZ190" s="24"/>
      <c r="CA190" s="24"/>
      <c r="CB190" s="25"/>
      <c r="CC190" s="82"/>
      <c r="CD190" s="246"/>
      <c r="CE190" s="245">
        <f>SUM(BX190:CB190)</f>
        <v>0</v>
      </c>
      <c r="CF190" s="379"/>
      <c r="CG190" s="376"/>
      <c r="CH190" s="376"/>
      <c r="CI190" s="376"/>
      <c r="CJ190" s="376"/>
      <c r="CK190" s="376"/>
      <c r="CL190" s="373"/>
      <c r="CM190" s="245">
        <f t="shared" si="284"/>
        <v>0</v>
      </c>
      <c r="CN190" s="39"/>
      <c r="CO190" s="3"/>
      <c r="CP190" s="75">
        <f t="shared" si="273"/>
        <v>0</v>
      </c>
      <c r="CQ190" s="3"/>
      <c r="CR190" s="76">
        <f t="shared" si="274"/>
        <v>0</v>
      </c>
      <c r="CT190" s="76">
        <f t="shared" si="233"/>
        <v>0</v>
      </c>
    </row>
    <row r="191" spans="1:98" ht="15" customHeight="1" x14ac:dyDescent="0.2">
      <c r="A191" s="392"/>
      <c r="B191" s="395"/>
      <c r="C191" s="234" t="s">
        <v>284</v>
      </c>
      <c r="D191" s="208" t="s">
        <v>215</v>
      </c>
      <c r="E191" s="205" t="s">
        <v>10</v>
      </c>
      <c r="F191" s="323"/>
      <c r="H191" s="43"/>
      <c r="I191" s="24"/>
      <c r="J191" s="24"/>
      <c r="K191" s="24"/>
      <c r="L191" s="25"/>
      <c r="M191" s="82"/>
      <c r="N191" s="246"/>
      <c r="O191" s="245">
        <f>SUM(H191:L191)</f>
        <v>0</v>
      </c>
      <c r="P191" s="380"/>
      <c r="Q191" s="377"/>
      <c r="R191" s="377"/>
      <c r="S191" s="377"/>
      <c r="T191" s="377"/>
      <c r="U191" s="377"/>
      <c r="V191" s="374"/>
      <c r="W191" s="245">
        <f t="shared" si="276"/>
        <v>0</v>
      </c>
      <c r="Y191" s="43"/>
      <c r="Z191" s="24"/>
      <c r="AA191" s="24"/>
      <c r="AB191" s="24"/>
      <c r="AC191" s="25"/>
      <c r="AD191" s="82"/>
      <c r="AE191" s="246"/>
      <c r="AF191" s="245">
        <f>SUM(Y191:AC191)</f>
        <v>0</v>
      </c>
      <c r="AG191" s="380"/>
      <c r="AH191" s="377"/>
      <c r="AI191" s="377"/>
      <c r="AJ191" s="377"/>
      <c r="AK191" s="377"/>
      <c r="AL191" s="377"/>
      <c r="AM191" s="374"/>
      <c r="AN191" s="245">
        <f t="shared" si="278"/>
        <v>0</v>
      </c>
      <c r="AP191" s="43"/>
      <c r="AQ191" s="24"/>
      <c r="AR191" s="24"/>
      <c r="AS191" s="24"/>
      <c r="AT191" s="25"/>
      <c r="AU191" s="82"/>
      <c r="AV191" s="246"/>
      <c r="AW191" s="245">
        <f>SUM(AP191:AT191)</f>
        <v>0</v>
      </c>
      <c r="AX191" s="380"/>
      <c r="AY191" s="377"/>
      <c r="AZ191" s="377"/>
      <c r="BA191" s="377"/>
      <c r="BB191" s="377"/>
      <c r="BC191" s="377"/>
      <c r="BD191" s="374"/>
      <c r="BE191" s="245">
        <f t="shared" si="280"/>
        <v>0</v>
      </c>
      <c r="BG191" s="43"/>
      <c r="BH191" s="24"/>
      <c r="BI191" s="24"/>
      <c r="BJ191" s="24"/>
      <c r="BK191" s="25"/>
      <c r="BL191" s="82"/>
      <c r="BM191" s="246"/>
      <c r="BN191" s="245">
        <f>SUM(BG191:BK191)</f>
        <v>0</v>
      </c>
      <c r="BO191" s="380"/>
      <c r="BP191" s="377"/>
      <c r="BQ191" s="377"/>
      <c r="BR191" s="377"/>
      <c r="BS191" s="377"/>
      <c r="BT191" s="377"/>
      <c r="BU191" s="374"/>
      <c r="BV191" s="245">
        <f t="shared" si="282"/>
        <v>0</v>
      </c>
      <c r="BX191" s="43"/>
      <c r="BY191" s="24"/>
      <c r="BZ191" s="24"/>
      <c r="CA191" s="24"/>
      <c r="CB191" s="25"/>
      <c r="CC191" s="82"/>
      <c r="CD191" s="246"/>
      <c r="CE191" s="245">
        <f>SUM(BX191:CB191)</f>
        <v>0</v>
      </c>
      <c r="CF191" s="380"/>
      <c r="CG191" s="377"/>
      <c r="CH191" s="377"/>
      <c r="CI191" s="377"/>
      <c r="CJ191" s="377"/>
      <c r="CK191" s="377"/>
      <c r="CL191" s="374"/>
      <c r="CM191" s="245">
        <f t="shared" si="284"/>
        <v>0</v>
      </c>
      <c r="CN191" s="39"/>
      <c r="CO191" s="3"/>
      <c r="CP191" s="75">
        <f t="shared" si="273"/>
        <v>0</v>
      </c>
      <c r="CQ191" s="3"/>
      <c r="CR191" s="76">
        <f t="shared" si="274"/>
        <v>0</v>
      </c>
      <c r="CT191" s="76">
        <f t="shared" si="233"/>
        <v>0</v>
      </c>
    </row>
    <row r="192" spans="1:98" ht="15" customHeight="1" thickBot="1" x14ac:dyDescent="0.25">
      <c r="A192" s="393"/>
      <c r="B192" s="223"/>
      <c r="C192" s="224"/>
      <c r="D192" s="225" t="s">
        <v>22</v>
      </c>
      <c r="E192" s="224"/>
      <c r="F192" s="325"/>
      <c r="H192" s="141"/>
      <c r="I192" s="142"/>
      <c r="J192" s="142"/>
      <c r="K192" s="142"/>
      <c r="L192" s="142"/>
      <c r="M192" s="227"/>
      <c r="N192" s="228"/>
      <c r="O192" s="229">
        <f>SUM(O176:O191)</f>
        <v>0</v>
      </c>
      <c r="P192" s="230"/>
      <c r="Q192" s="230"/>
      <c r="R192" s="230"/>
      <c r="S192" s="230"/>
      <c r="T192" s="230"/>
      <c r="U192" s="230"/>
      <c r="V192" s="228"/>
      <c r="W192" s="229">
        <f>SUM(W176:W191)</f>
        <v>0</v>
      </c>
      <c r="Y192" s="141"/>
      <c r="Z192" s="142"/>
      <c r="AA192" s="142"/>
      <c r="AB192" s="142"/>
      <c r="AC192" s="142"/>
      <c r="AD192" s="227"/>
      <c r="AE192" s="228"/>
      <c r="AF192" s="229">
        <f>SUM(AF176:AF191)</f>
        <v>0.41626553654482046</v>
      </c>
      <c r="AG192" s="230"/>
      <c r="AH192" s="230"/>
      <c r="AI192" s="230"/>
      <c r="AJ192" s="230"/>
      <c r="AK192" s="230"/>
      <c r="AL192" s="230"/>
      <c r="AM192" s="228"/>
      <c r="AN192" s="229">
        <f>SUM(AN176:AN191)</f>
        <v>0.4950491508360384</v>
      </c>
      <c r="AP192" s="141"/>
      <c r="AQ192" s="142"/>
      <c r="AR192" s="142"/>
      <c r="AS192" s="142"/>
      <c r="AT192" s="142"/>
      <c r="AU192" s="227"/>
      <c r="AV192" s="228"/>
      <c r="AW192" s="229">
        <f>SUM(AW176:AW191)</f>
        <v>0</v>
      </c>
      <c r="AX192" s="230"/>
      <c r="AY192" s="230"/>
      <c r="AZ192" s="230"/>
      <c r="BA192" s="230"/>
      <c r="BB192" s="230"/>
      <c r="BC192" s="230"/>
      <c r="BD192" s="228"/>
      <c r="BE192" s="229">
        <f>SUM(BE176:BE191)</f>
        <v>0</v>
      </c>
      <c r="BG192" s="141"/>
      <c r="BH192" s="142"/>
      <c r="BI192" s="142"/>
      <c r="BJ192" s="142"/>
      <c r="BK192" s="142"/>
      <c r="BL192" s="227"/>
      <c r="BM192" s="228"/>
      <c r="BN192" s="229">
        <f>SUM(BN176:BN191)</f>
        <v>0</v>
      </c>
      <c r="BO192" s="230"/>
      <c r="BP192" s="230"/>
      <c r="BQ192" s="230"/>
      <c r="BR192" s="230"/>
      <c r="BS192" s="230"/>
      <c r="BT192" s="230"/>
      <c r="BU192" s="228"/>
      <c r="BV192" s="229">
        <f>SUM(BV176:BV191)</f>
        <v>0</v>
      </c>
      <c r="BX192" s="141"/>
      <c r="BY192" s="142"/>
      <c r="BZ192" s="142"/>
      <c r="CA192" s="142"/>
      <c r="CB192" s="142"/>
      <c r="CC192" s="227"/>
      <c r="CD192" s="228"/>
      <c r="CE192" s="229">
        <f>SUM(CE176:CE191)</f>
        <v>0</v>
      </c>
      <c r="CF192" s="230"/>
      <c r="CG192" s="230"/>
      <c r="CH192" s="230"/>
      <c r="CI192" s="230"/>
      <c r="CJ192" s="230"/>
      <c r="CK192" s="230"/>
      <c r="CL192" s="228"/>
      <c r="CM192" s="229">
        <f>SUM(CM176:CM191)</f>
        <v>0</v>
      </c>
      <c r="CN192" s="39"/>
      <c r="CO192" s="3"/>
      <c r="CP192" s="217">
        <f>SUM(CP176:CP191)</f>
        <v>0.41626553654482046</v>
      </c>
      <c r="CQ192" s="3"/>
      <c r="CR192" s="217">
        <f>SUM(CR176:CR191)</f>
        <v>0.4950491508360384</v>
      </c>
      <c r="CT192" s="217"/>
    </row>
    <row r="193" spans="1:98" ht="15" customHeight="1" x14ac:dyDescent="0.2">
      <c r="A193" s="391" t="s">
        <v>528</v>
      </c>
      <c r="B193" s="421" t="s">
        <v>43</v>
      </c>
      <c r="C193" s="236" t="s">
        <v>298</v>
      </c>
      <c r="D193" s="256" t="s">
        <v>213</v>
      </c>
      <c r="E193" s="236" t="s">
        <v>20</v>
      </c>
      <c r="F193" s="304">
        <f>F1*(0.0189*(1.014*1.012*1.015)*1.1/1.13)*1.028</f>
        <v>2.0162367076627351E-2</v>
      </c>
      <c r="H193" s="41"/>
      <c r="I193" s="46"/>
      <c r="J193" s="46"/>
      <c r="K193" s="46"/>
      <c r="L193" s="47"/>
      <c r="M193" s="92">
        <f>SUM(H193:L193)</f>
        <v>0</v>
      </c>
      <c r="N193" s="193">
        <v>1</v>
      </c>
      <c r="O193" s="238">
        <f>$F193*M193*N193</f>
        <v>0</v>
      </c>
      <c r="P193" s="378">
        <f>VLOOKUP(P5,'Databaze rizik'!$K$2:$Z$6,13,FALSE)/100+1</f>
        <v>1.08</v>
      </c>
      <c r="Q193" s="375">
        <f>VLOOKUP(Q5,'Databaze rizik'!$K$21:$Z$25,13,FALSE)/100+1</f>
        <v>1.04</v>
      </c>
      <c r="R193" s="375">
        <f>VLOOKUP(R5,'Databaze rizik'!$K$41:$Z$45,13,FALSE)/100+1</f>
        <v>1</v>
      </c>
      <c r="S193" s="375">
        <f>VLOOKUP(S5,'Databaze rizik'!$K$61:$Z$66,13,FALSE)/100+1</f>
        <v>1.02</v>
      </c>
      <c r="T193" s="375">
        <f>VLOOKUP(T5,'Databaze rizik'!$K$81:$Z$85,13,FALSE)/100+1</f>
        <v>1.01</v>
      </c>
      <c r="U193" s="375">
        <f>VLOOKUP(U5,'Databaze rizik'!$K$101:$Z$105,13,FALSE)/100+1</f>
        <v>1.01</v>
      </c>
      <c r="V193" s="372">
        <f t="shared" ref="V193" si="296">P193*Q193*R193*S193*T193*U193</f>
        <v>1.1686918464000002</v>
      </c>
      <c r="W193" s="238">
        <f>O193*V$193</f>
        <v>0</v>
      </c>
      <c r="Y193" s="41"/>
      <c r="Z193" s="46"/>
      <c r="AA193" s="46"/>
      <c r="AB193" s="46"/>
      <c r="AC193" s="47"/>
      <c r="AD193" s="92">
        <f>SUM(Y193:AC193)</f>
        <v>0</v>
      </c>
      <c r="AE193" s="193">
        <v>1</v>
      </c>
      <c r="AF193" s="238">
        <f>$F193*AD193*AE193</f>
        <v>0</v>
      </c>
      <c r="AG193" s="378">
        <f>VLOOKUP(AG5,'Databaze rizik'!$K$2:$Z$6,13,FALSE)/100+1</f>
        <v>1.08</v>
      </c>
      <c r="AH193" s="375">
        <f>VLOOKUP(AH5,'Databaze rizik'!$K$21:$Z$25,13,FALSE)/100+1</f>
        <v>1.04</v>
      </c>
      <c r="AI193" s="375">
        <f>VLOOKUP(AI5,'Databaze rizik'!$K$41:$Z$45,13,FALSE)/100+1</f>
        <v>1</v>
      </c>
      <c r="AJ193" s="375">
        <f>VLOOKUP(AJ5,'Databaze rizik'!$K$61:$Z$66,13,FALSE)/100+1</f>
        <v>1.02</v>
      </c>
      <c r="AK193" s="375">
        <f>VLOOKUP(AK5,'Databaze rizik'!$K$81:$Z$85,13,FALSE)/100+1</f>
        <v>1.01</v>
      </c>
      <c r="AL193" s="375">
        <f>VLOOKUP(AL5,'Databaze rizik'!$K$101:$Z$105,13,FALSE)/100+1</f>
        <v>1.01</v>
      </c>
      <c r="AM193" s="372">
        <f t="shared" ref="AM193" si="297">AG193*AH193*AI193*AJ193*AK193*AL193</f>
        <v>1.1686918464000002</v>
      </c>
      <c r="AN193" s="238">
        <f>AF193*AM$193</f>
        <v>0</v>
      </c>
      <c r="AP193" s="41"/>
      <c r="AQ193" s="46"/>
      <c r="AR193" s="46"/>
      <c r="AS193" s="46"/>
      <c r="AT193" s="47"/>
      <c r="AU193" s="92">
        <f>SUM(AP193:AT193)</f>
        <v>0</v>
      </c>
      <c r="AV193" s="193">
        <v>1</v>
      </c>
      <c r="AW193" s="238">
        <f>$F193*AU193*AV193</f>
        <v>0</v>
      </c>
      <c r="AX193" s="378">
        <f>VLOOKUP(AX5,'Databaze rizik'!$K$2:$Z$6,13,FALSE)/100+1</f>
        <v>1.08</v>
      </c>
      <c r="AY193" s="375">
        <f>VLOOKUP(AY5,'Databaze rizik'!$K$21:$Z$25,13,FALSE)/100+1</f>
        <v>1.04</v>
      </c>
      <c r="AZ193" s="375">
        <f>VLOOKUP(AZ5,'Databaze rizik'!$K$41:$Z$45,13,FALSE)/100+1</f>
        <v>1</v>
      </c>
      <c r="BA193" s="375">
        <f>VLOOKUP(BA5,'Databaze rizik'!$K$61:$Z$66,13,FALSE)/100+1</f>
        <v>1.02</v>
      </c>
      <c r="BB193" s="375">
        <f>VLOOKUP(BB5,'Databaze rizik'!$K$81:$Z$85,13,FALSE)/100+1</f>
        <v>1.01</v>
      </c>
      <c r="BC193" s="375">
        <f>VLOOKUP(BC5,'Databaze rizik'!$K$101:$Z$105,13,FALSE)/100+1</f>
        <v>1.01</v>
      </c>
      <c r="BD193" s="372">
        <f t="shared" ref="BD193" si="298">AX193*AY193*AZ193*BA193*BB193*BC193</f>
        <v>1.1686918464000002</v>
      </c>
      <c r="BE193" s="238">
        <f>AW193*BD$193</f>
        <v>0</v>
      </c>
      <c r="BG193" s="41"/>
      <c r="BH193" s="46"/>
      <c r="BI193" s="46"/>
      <c r="BJ193" s="46"/>
      <c r="BK193" s="47"/>
      <c r="BL193" s="92">
        <f>SUM(BG193:BK193)</f>
        <v>0</v>
      </c>
      <c r="BM193" s="193">
        <v>1</v>
      </c>
      <c r="BN193" s="238">
        <f>$F193*BL193*BM193</f>
        <v>0</v>
      </c>
      <c r="BO193" s="378">
        <f>VLOOKUP(BO5,'Databaze rizik'!$K$2:$Z$6,13,FALSE)/100+1</f>
        <v>1</v>
      </c>
      <c r="BP193" s="375">
        <f>VLOOKUP(BP5,'Databaze rizik'!$K$21:$Z$25,13,FALSE)/100+1</f>
        <v>1</v>
      </c>
      <c r="BQ193" s="375">
        <f>VLOOKUP(BQ5,'Databaze rizik'!$K$41:$Z$45,13,FALSE)/100+1</f>
        <v>1</v>
      </c>
      <c r="BR193" s="375">
        <f>VLOOKUP(BR5,'Databaze rizik'!$K$61:$Z$66,13,FALSE)/100+1</f>
        <v>1.02</v>
      </c>
      <c r="BS193" s="375">
        <f>VLOOKUP(BS5,'Databaze rizik'!$K$81:$Z$85,13,FALSE)/100+1</f>
        <v>1.01</v>
      </c>
      <c r="BT193" s="375">
        <f>VLOOKUP(BT5,'Databaze rizik'!$K$101:$Z$105,13,FALSE)/100+1</f>
        <v>1.01</v>
      </c>
      <c r="BU193" s="372">
        <f t="shared" ref="BU193" si="299">BO193*BP193*BQ193*BR193*BS193*BT193</f>
        <v>1.040502</v>
      </c>
      <c r="BV193" s="238">
        <f>BN193*BU$193</f>
        <v>0</v>
      </c>
      <c r="BX193" s="41"/>
      <c r="BY193" s="46"/>
      <c r="BZ193" s="46"/>
      <c r="CA193" s="46"/>
      <c r="CB193" s="47"/>
      <c r="CC193" s="92">
        <f>SUM(BX193:CB193)</f>
        <v>0</v>
      </c>
      <c r="CD193" s="193">
        <v>1</v>
      </c>
      <c r="CE193" s="238">
        <f>$F193*CC193*CD193</f>
        <v>0</v>
      </c>
      <c r="CF193" s="378">
        <f>VLOOKUP(CF5,'Databaze rizik'!$K$2:$Z$6,13,FALSE)/100+1</f>
        <v>1</v>
      </c>
      <c r="CG193" s="375">
        <f>VLOOKUP(CG5,'Databaze rizik'!$K$21:$Z$25,13,FALSE)/100+1</f>
        <v>1</v>
      </c>
      <c r="CH193" s="375">
        <f>VLOOKUP(CH5,'Databaze rizik'!$K$41:$Z$45,13,FALSE)/100+1</f>
        <v>1</v>
      </c>
      <c r="CI193" s="375">
        <f>VLOOKUP(CI5,'Databaze rizik'!$K$61:$Z$66,13,FALSE)/100+1</f>
        <v>1.02</v>
      </c>
      <c r="CJ193" s="375">
        <f>VLOOKUP(CJ5,'Databaze rizik'!$K$81:$Z$85,13,FALSE)/100+1</f>
        <v>1.01</v>
      </c>
      <c r="CK193" s="375">
        <f>VLOOKUP(CK5,'Databaze rizik'!$K$101:$Z$105,13,FALSE)/100+1</f>
        <v>1.01</v>
      </c>
      <c r="CL193" s="372">
        <f t="shared" ref="CL193" si="300">CF193*CG193*CH193*CI193*CJ193*CK193</f>
        <v>1.040502</v>
      </c>
      <c r="CM193" s="238">
        <f>CE193*CL$193</f>
        <v>0</v>
      </c>
      <c r="CN193" s="39"/>
      <c r="CO193" s="55"/>
      <c r="CP193" s="77">
        <f t="shared" ref="CP193:CP198" si="301">SUMIF(H$1:CM$1,1,H193:CM193)</f>
        <v>0</v>
      </c>
      <c r="CQ193" s="3"/>
      <c r="CR193" s="77">
        <f t="shared" ref="CR193:CR198" si="302">SUMIF(H$1:CM$1,2,H193:CM193)</f>
        <v>0</v>
      </c>
      <c r="CT193" s="77">
        <f t="shared" si="233"/>
        <v>0</v>
      </c>
    </row>
    <row r="194" spans="1:98" ht="15" customHeight="1" x14ac:dyDescent="0.2">
      <c r="A194" s="392"/>
      <c r="B194" s="417"/>
      <c r="C194" s="234" t="s">
        <v>299</v>
      </c>
      <c r="D194" s="254" t="s">
        <v>214</v>
      </c>
      <c r="E194" s="297" t="s">
        <v>93</v>
      </c>
      <c r="F194" s="303">
        <f>F1*(0.2*(1.014*1.012*1.015)*1.1/1.13)*1.028</f>
        <v>0.21335838176325242</v>
      </c>
      <c r="H194" s="43"/>
      <c r="I194" s="24"/>
      <c r="J194" s="24"/>
      <c r="K194" s="24"/>
      <c r="L194" s="25"/>
      <c r="M194" s="82">
        <f>SUM(H194:L194)</f>
        <v>0</v>
      </c>
      <c r="N194" s="198">
        <v>1</v>
      </c>
      <c r="O194" s="245">
        <f>$F194*M194*N194</f>
        <v>0</v>
      </c>
      <c r="P194" s="379"/>
      <c r="Q194" s="376"/>
      <c r="R194" s="376"/>
      <c r="S194" s="376"/>
      <c r="T194" s="376"/>
      <c r="U194" s="376"/>
      <c r="V194" s="373"/>
      <c r="W194" s="245">
        <f t="shared" ref="W194:W198" si="303">O194*V$193</f>
        <v>0</v>
      </c>
      <c r="Y194" s="43"/>
      <c r="Z194" s="24"/>
      <c r="AA194" s="24"/>
      <c r="AB194" s="24"/>
      <c r="AC194" s="25"/>
      <c r="AD194" s="82">
        <f>SUM(Y194:AC194)</f>
        <v>0</v>
      </c>
      <c r="AE194" s="198">
        <v>1</v>
      </c>
      <c r="AF194" s="245">
        <f>$F194*AD194*AE194</f>
        <v>0</v>
      </c>
      <c r="AG194" s="379"/>
      <c r="AH194" s="376"/>
      <c r="AI194" s="376"/>
      <c r="AJ194" s="376"/>
      <c r="AK194" s="376"/>
      <c r="AL194" s="376"/>
      <c r="AM194" s="373"/>
      <c r="AN194" s="245">
        <f t="shared" ref="AN194:AN198" si="304">AF194*AM$193</f>
        <v>0</v>
      </c>
      <c r="AP194" s="43"/>
      <c r="AQ194" s="24"/>
      <c r="AR194" s="24"/>
      <c r="AS194" s="24"/>
      <c r="AT194" s="25"/>
      <c r="AU194" s="82">
        <f>SUM(AP194:AT194)</f>
        <v>0</v>
      </c>
      <c r="AV194" s="198">
        <v>1</v>
      </c>
      <c r="AW194" s="245">
        <f>$F194*AU194*AV194</f>
        <v>0</v>
      </c>
      <c r="AX194" s="379"/>
      <c r="AY194" s="376"/>
      <c r="AZ194" s="376"/>
      <c r="BA194" s="376"/>
      <c r="BB194" s="376"/>
      <c r="BC194" s="376"/>
      <c r="BD194" s="373"/>
      <c r="BE194" s="245">
        <f t="shared" ref="BE194:BE198" si="305">AW194*BD$193</f>
        <v>0</v>
      </c>
      <c r="BG194" s="43"/>
      <c r="BH194" s="24"/>
      <c r="BI194" s="24"/>
      <c r="BJ194" s="24"/>
      <c r="BK194" s="25"/>
      <c r="BL194" s="82">
        <f>SUM(BG194:BK194)</f>
        <v>0</v>
      </c>
      <c r="BM194" s="198">
        <v>1</v>
      </c>
      <c r="BN194" s="245">
        <f>$F194*BL194*BM194</f>
        <v>0</v>
      </c>
      <c r="BO194" s="379"/>
      <c r="BP194" s="376"/>
      <c r="BQ194" s="376"/>
      <c r="BR194" s="376"/>
      <c r="BS194" s="376"/>
      <c r="BT194" s="376"/>
      <c r="BU194" s="373"/>
      <c r="BV194" s="245">
        <f t="shared" ref="BV194:BV198" si="306">BN194*BU$193</f>
        <v>0</v>
      </c>
      <c r="BX194" s="43"/>
      <c r="BY194" s="24"/>
      <c r="BZ194" s="24"/>
      <c r="CA194" s="24"/>
      <c r="CB194" s="25"/>
      <c r="CC194" s="82">
        <f>SUM(BX194:CB194)</f>
        <v>0</v>
      </c>
      <c r="CD194" s="198">
        <v>1</v>
      </c>
      <c r="CE194" s="245">
        <f>$F194*CC194*CD194</f>
        <v>0</v>
      </c>
      <c r="CF194" s="379"/>
      <c r="CG194" s="376"/>
      <c r="CH194" s="376"/>
      <c r="CI194" s="376"/>
      <c r="CJ194" s="376"/>
      <c r="CK194" s="376"/>
      <c r="CL194" s="373"/>
      <c r="CM194" s="245">
        <f t="shared" ref="CM194:CM198" si="307">CE194*CL$193</f>
        <v>0</v>
      </c>
      <c r="CN194" s="39"/>
      <c r="CO194" s="55"/>
      <c r="CP194" s="75">
        <f t="shared" si="301"/>
        <v>0</v>
      </c>
      <c r="CQ194" s="3"/>
      <c r="CR194" s="76">
        <f t="shared" si="302"/>
        <v>0</v>
      </c>
      <c r="CT194" s="76">
        <f t="shared" si="233"/>
        <v>0</v>
      </c>
    </row>
    <row r="195" spans="1:98" ht="15" customHeight="1" x14ac:dyDescent="0.2">
      <c r="A195" s="392"/>
      <c r="B195" s="394" t="s">
        <v>41</v>
      </c>
      <c r="C195" s="234" t="s">
        <v>300</v>
      </c>
      <c r="D195" s="201" t="s">
        <v>357</v>
      </c>
      <c r="E195" s="202"/>
      <c r="F195" s="322"/>
      <c r="H195" s="43"/>
      <c r="I195" s="24"/>
      <c r="J195" s="24"/>
      <c r="K195" s="24"/>
      <c r="L195" s="25"/>
      <c r="M195" s="82">
        <f>SUM(H195:L195)</f>
        <v>0</v>
      </c>
      <c r="N195" s="198">
        <v>1</v>
      </c>
      <c r="O195" s="245">
        <f>$F195*M195*N195</f>
        <v>0</v>
      </c>
      <c r="P195" s="379"/>
      <c r="Q195" s="376"/>
      <c r="R195" s="376"/>
      <c r="S195" s="376"/>
      <c r="T195" s="376"/>
      <c r="U195" s="376"/>
      <c r="V195" s="373"/>
      <c r="W195" s="245">
        <f t="shared" si="303"/>
        <v>0</v>
      </c>
      <c r="Y195" s="43"/>
      <c r="Z195" s="24"/>
      <c r="AA195" s="24"/>
      <c r="AB195" s="24"/>
      <c r="AC195" s="25"/>
      <c r="AD195" s="82">
        <f>SUM(Y195:AC195)</f>
        <v>0</v>
      </c>
      <c r="AE195" s="198">
        <v>1</v>
      </c>
      <c r="AF195" s="245">
        <f>$F195*AD195*AE195</f>
        <v>0</v>
      </c>
      <c r="AG195" s="379"/>
      <c r="AH195" s="376"/>
      <c r="AI195" s="376"/>
      <c r="AJ195" s="376"/>
      <c r="AK195" s="376"/>
      <c r="AL195" s="376"/>
      <c r="AM195" s="373"/>
      <c r="AN195" s="245">
        <f t="shared" si="304"/>
        <v>0</v>
      </c>
      <c r="AP195" s="43"/>
      <c r="AQ195" s="24"/>
      <c r="AR195" s="24"/>
      <c r="AS195" s="24"/>
      <c r="AT195" s="25"/>
      <c r="AU195" s="82">
        <f>SUM(AP195:AT195)</f>
        <v>0</v>
      </c>
      <c r="AV195" s="198">
        <v>1</v>
      </c>
      <c r="AW195" s="245">
        <f>$F195*AU195*AV195</f>
        <v>0</v>
      </c>
      <c r="AX195" s="379"/>
      <c r="AY195" s="376"/>
      <c r="AZ195" s="376"/>
      <c r="BA195" s="376"/>
      <c r="BB195" s="376"/>
      <c r="BC195" s="376"/>
      <c r="BD195" s="373"/>
      <c r="BE195" s="245">
        <f t="shared" si="305"/>
        <v>0</v>
      </c>
      <c r="BG195" s="43"/>
      <c r="BH195" s="24"/>
      <c r="BI195" s="24"/>
      <c r="BJ195" s="24"/>
      <c r="BK195" s="25"/>
      <c r="BL195" s="82">
        <f>SUM(BG195:BK195)</f>
        <v>0</v>
      </c>
      <c r="BM195" s="198">
        <v>1</v>
      </c>
      <c r="BN195" s="245">
        <f>$F195*BL195*BM195</f>
        <v>0</v>
      </c>
      <c r="BO195" s="379"/>
      <c r="BP195" s="376"/>
      <c r="BQ195" s="376"/>
      <c r="BR195" s="376"/>
      <c r="BS195" s="376"/>
      <c r="BT195" s="376"/>
      <c r="BU195" s="373"/>
      <c r="BV195" s="245">
        <f t="shared" si="306"/>
        <v>0</v>
      </c>
      <c r="BX195" s="43"/>
      <c r="BY195" s="24"/>
      <c r="BZ195" s="24"/>
      <c r="CA195" s="24"/>
      <c r="CB195" s="25"/>
      <c r="CC195" s="82">
        <f>SUM(BX195:CB195)</f>
        <v>0</v>
      </c>
      <c r="CD195" s="198">
        <v>1</v>
      </c>
      <c r="CE195" s="245">
        <f>$F195*CC195*CD195</f>
        <v>0</v>
      </c>
      <c r="CF195" s="379"/>
      <c r="CG195" s="376"/>
      <c r="CH195" s="376"/>
      <c r="CI195" s="376"/>
      <c r="CJ195" s="376"/>
      <c r="CK195" s="376"/>
      <c r="CL195" s="373"/>
      <c r="CM195" s="245">
        <f t="shared" si="307"/>
        <v>0</v>
      </c>
      <c r="CN195" s="39"/>
      <c r="CO195" s="55"/>
      <c r="CP195" s="75">
        <f t="shared" si="301"/>
        <v>0</v>
      </c>
      <c r="CQ195" s="3"/>
      <c r="CR195" s="76">
        <f t="shared" si="302"/>
        <v>0</v>
      </c>
      <c r="CT195" s="76">
        <f t="shared" si="233"/>
        <v>0</v>
      </c>
    </row>
    <row r="196" spans="1:98" ht="15" customHeight="1" x14ac:dyDescent="0.2">
      <c r="A196" s="392"/>
      <c r="B196" s="395"/>
      <c r="C196" s="234" t="s">
        <v>301</v>
      </c>
      <c r="D196" s="201" t="s">
        <v>357</v>
      </c>
      <c r="E196" s="202"/>
      <c r="F196" s="322"/>
      <c r="H196" s="43"/>
      <c r="I196" s="24"/>
      <c r="J196" s="24"/>
      <c r="K196" s="24"/>
      <c r="L196" s="25"/>
      <c r="M196" s="82">
        <f>SUM(H196:L196)</f>
        <v>0</v>
      </c>
      <c r="N196" s="198">
        <v>1</v>
      </c>
      <c r="O196" s="245">
        <f>$F196*M196*N196</f>
        <v>0</v>
      </c>
      <c r="P196" s="379"/>
      <c r="Q196" s="376"/>
      <c r="R196" s="376"/>
      <c r="S196" s="376"/>
      <c r="T196" s="376"/>
      <c r="U196" s="376"/>
      <c r="V196" s="373"/>
      <c r="W196" s="245">
        <f t="shared" si="303"/>
        <v>0</v>
      </c>
      <c r="Y196" s="43"/>
      <c r="Z196" s="24"/>
      <c r="AA196" s="24"/>
      <c r="AB196" s="24"/>
      <c r="AC196" s="25"/>
      <c r="AD196" s="82">
        <f>SUM(Y196:AC196)</f>
        <v>0</v>
      </c>
      <c r="AE196" s="198">
        <v>1</v>
      </c>
      <c r="AF196" s="245">
        <f>$F196*AD196*AE196</f>
        <v>0</v>
      </c>
      <c r="AG196" s="379"/>
      <c r="AH196" s="376"/>
      <c r="AI196" s="376"/>
      <c r="AJ196" s="376"/>
      <c r="AK196" s="376"/>
      <c r="AL196" s="376"/>
      <c r="AM196" s="373"/>
      <c r="AN196" s="245">
        <f t="shared" si="304"/>
        <v>0</v>
      </c>
      <c r="AP196" s="43"/>
      <c r="AQ196" s="24"/>
      <c r="AR196" s="24"/>
      <c r="AS196" s="24"/>
      <c r="AT196" s="25"/>
      <c r="AU196" s="82">
        <f>SUM(AP196:AT196)</f>
        <v>0</v>
      </c>
      <c r="AV196" s="198">
        <v>1</v>
      </c>
      <c r="AW196" s="245">
        <f>$F196*AU196*AV196</f>
        <v>0</v>
      </c>
      <c r="AX196" s="379"/>
      <c r="AY196" s="376"/>
      <c r="AZ196" s="376"/>
      <c r="BA196" s="376"/>
      <c r="BB196" s="376"/>
      <c r="BC196" s="376"/>
      <c r="BD196" s="373"/>
      <c r="BE196" s="245">
        <f t="shared" si="305"/>
        <v>0</v>
      </c>
      <c r="BG196" s="43"/>
      <c r="BH196" s="24"/>
      <c r="BI196" s="24"/>
      <c r="BJ196" s="24"/>
      <c r="BK196" s="25"/>
      <c r="BL196" s="82">
        <f>SUM(BG196:BK196)</f>
        <v>0</v>
      </c>
      <c r="BM196" s="198">
        <v>1</v>
      </c>
      <c r="BN196" s="245">
        <f>$F196*BL196*BM196</f>
        <v>0</v>
      </c>
      <c r="BO196" s="379"/>
      <c r="BP196" s="376"/>
      <c r="BQ196" s="376"/>
      <c r="BR196" s="376"/>
      <c r="BS196" s="376"/>
      <c r="BT196" s="376"/>
      <c r="BU196" s="373"/>
      <c r="BV196" s="245">
        <f t="shared" si="306"/>
        <v>0</v>
      </c>
      <c r="BX196" s="43"/>
      <c r="BY196" s="24"/>
      <c r="BZ196" s="24"/>
      <c r="CA196" s="24"/>
      <c r="CB196" s="25"/>
      <c r="CC196" s="82">
        <f>SUM(BX196:CB196)</f>
        <v>0</v>
      </c>
      <c r="CD196" s="198">
        <v>1</v>
      </c>
      <c r="CE196" s="245">
        <f>$F196*CC196*CD196</f>
        <v>0</v>
      </c>
      <c r="CF196" s="379"/>
      <c r="CG196" s="376"/>
      <c r="CH196" s="376"/>
      <c r="CI196" s="376"/>
      <c r="CJ196" s="376"/>
      <c r="CK196" s="376"/>
      <c r="CL196" s="373"/>
      <c r="CM196" s="245">
        <f t="shared" si="307"/>
        <v>0</v>
      </c>
      <c r="CN196" s="39"/>
      <c r="CO196" s="55"/>
      <c r="CP196" s="75">
        <f t="shared" si="301"/>
        <v>0</v>
      </c>
      <c r="CQ196" s="3"/>
      <c r="CR196" s="76">
        <f t="shared" si="302"/>
        <v>0</v>
      </c>
      <c r="CT196" s="76">
        <f t="shared" si="233"/>
        <v>0</v>
      </c>
    </row>
    <row r="197" spans="1:98" ht="15" customHeight="1" x14ac:dyDescent="0.2">
      <c r="A197" s="392"/>
      <c r="B197" s="395"/>
      <c r="C197" s="234" t="s">
        <v>302</v>
      </c>
      <c r="D197" s="204" t="s">
        <v>215</v>
      </c>
      <c r="E197" s="205" t="s">
        <v>10</v>
      </c>
      <c r="F197" s="323"/>
      <c r="H197" s="43"/>
      <c r="I197" s="24"/>
      <c r="J197" s="24"/>
      <c r="K197" s="24"/>
      <c r="L197" s="25"/>
      <c r="M197" s="82"/>
      <c r="N197" s="246"/>
      <c r="O197" s="245">
        <f>SUM(H197:L197)</f>
        <v>0</v>
      </c>
      <c r="P197" s="379"/>
      <c r="Q197" s="376"/>
      <c r="R197" s="376"/>
      <c r="S197" s="376"/>
      <c r="T197" s="376"/>
      <c r="U197" s="376"/>
      <c r="V197" s="373"/>
      <c r="W197" s="245">
        <f t="shared" si="303"/>
        <v>0</v>
      </c>
      <c r="Y197" s="43"/>
      <c r="Z197" s="24"/>
      <c r="AA197" s="24"/>
      <c r="AB197" s="24"/>
      <c r="AC197" s="25"/>
      <c r="AD197" s="82"/>
      <c r="AE197" s="246"/>
      <c r="AF197" s="245">
        <f>SUM(Y197:AC197)</f>
        <v>0</v>
      </c>
      <c r="AG197" s="379"/>
      <c r="AH197" s="376"/>
      <c r="AI197" s="376"/>
      <c r="AJ197" s="376"/>
      <c r="AK197" s="376"/>
      <c r="AL197" s="376"/>
      <c r="AM197" s="373"/>
      <c r="AN197" s="245">
        <f t="shared" si="304"/>
        <v>0</v>
      </c>
      <c r="AP197" s="43"/>
      <c r="AQ197" s="24"/>
      <c r="AR197" s="24"/>
      <c r="AS197" s="24"/>
      <c r="AT197" s="25"/>
      <c r="AU197" s="82"/>
      <c r="AV197" s="246"/>
      <c r="AW197" s="245">
        <f>SUM(AP197:AT197)</f>
        <v>0</v>
      </c>
      <c r="AX197" s="379"/>
      <c r="AY197" s="376"/>
      <c r="AZ197" s="376"/>
      <c r="BA197" s="376"/>
      <c r="BB197" s="376"/>
      <c r="BC197" s="376"/>
      <c r="BD197" s="373"/>
      <c r="BE197" s="245">
        <f t="shared" si="305"/>
        <v>0</v>
      </c>
      <c r="BG197" s="43"/>
      <c r="BH197" s="24"/>
      <c r="BI197" s="24"/>
      <c r="BJ197" s="24"/>
      <c r="BK197" s="25"/>
      <c r="BL197" s="82"/>
      <c r="BM197" s="246"/>
      <c r="BN197" s="245">
        <f>SUM(BG197:BK197)</f>
        <v>0</v>
      </c>
      <c r="BO197" s="379"/>
      <c r="BP197" s="376"/>
      <c r="BQ197" s="376"/>
      <c r="BR197" s="376"/>
      <c r="BS197" s="376"/>
      <c r="BT197" s="376"/>
      <c r="BU197" s="373"/>
      <c r="BV197" s="245">
        <f t="shared" si="306"/>
        <v>0</v>
      </c>
      <c r="BX197" s="43"/>
      <c r="BY197" s="24"/>
      <c r="BZ197" s="24"/>
      <c r="CA197" s="24"/>
      <c r="CB197" s="25"/>
      <c r="CC197" s="82"/>
      <c r="CD197" s="246"/>
      <c r="CE197" s="245">
        <f>SUM(BX197:CB197)</f>
        <v>0</v>
      </c>
      <c r="CF197" s="379"/>
      <c r="CG197" s="376"/>
      <c r="CH197" s="376"/>
      <c r="CI197" s="376"/>
      <c r="CJ197" s="376"/>
      <c r="CK197" s="376"/>
      <c r="CL197" s="373"/>
      <c r="CM197" s="245">
        <f t="shared" si="307"/>
        <v>0</v>
      </c>
      <c r="CN197" s="39"/>
      <c r="CO197" s="55"/>
      <c r="CP197" s="75">
        <f t="shared" si="301"/>
        <v>0</v>
      </c>
      <c r="CQ197" s="3"/>
      <c r="CR197" s="76">
        <f t="shared" si="302"/>
        <v>0</v>
      </c>
      <c r="CT197" s="76">
        <f t="shared" si="233"/>
        <v>0</v>
      </c>
    </row>
    <row r="198" spans="1:98" ht="15" customHeight="1" x14ac:dyDescent="0.2">
      <c r="A198" s="392"/>
      <c r="B198" s="395"/>
      <c r="C198" s="234" t="s">
        <v>303</v>
      </c>
      <c r="D198" s="208" t="s">
        <v>215</v>
      </c>
      <c r="E198" s="205" t="s">
        <v>10</v>
      </c>
      <c r="F198" s="323"/>
      <c r="H198" s="43"/>
      <c r="I198" s="24"/>
      <c r="J198" s="24"/>
      <c r="K198" s="24"/>
      <c r="L198" s="25"/>
      <c r="M198" s="82"/>
      <c r="N198" s="246"/>
      <c r="O198" s="245">
        <f>SUM(H198:L198)</f>
        <v>0</v>
      </c>
      <c r="P198" s="380"/>
      <c r="Q198" s="377"/>
      <c r="R198" s="377"/>
      <c r="S198" s="377"/>
      <c r="T198" s="377"/>
      <c r="U198" s="377"/>
      <c r="V198" s="374"/>
      <c r="W198" s="245">
        <f t="shared" si="303"/>
        <v>0</v>
      </c>
      <c r="Y198" s="43"/>
      <c r="Z198" s="24"/>
      <c r="AA198" s="24"/>
      <c r="AB198" s="24"/>
      <c r="AC198" s="25"/>
      <c r="AD198" s="82"/>
      <c r="AE198" s="246"/>
      <c r="AF198" s="245">
        <f>SUM(Y198:AC198)</f>
        <v>0</v>
      </c>
      <c r="AG198" s="380"/>
      <c r="AH198" s="377"/>
      <c r="AI198" s="377"/>
      <c r="AJ198" s="377"/>
      <c r="AK198" s="377"/>
      <c r="AL198" s="377"/>
      <c r="AM198" s="374"/>
      <c r="AN198" s="245">
        <f t="shared" si="304"/>
        <v>0</v>
      </c>
      <c r="AP198" s="43"/>
      <c r="AQ198" s="24"/>
      <c r="AR198" s="24"/>
      <c r="AS198" s="24"/>
      <c r="AT198" s="25"/>
      <c r="AU198" s="82"/>
      <c r="AV198" s="246"/>
      <c r="AW198" s="245">
        <f>SUM(AP198:AT198)</f>
        <v>0</v>
      </c>
      <c r="AX198" s="380"/>
      <c r="AY198" s="377"/>
      <c r="AZ198" s="377"/>
      <c r="BA198" s="377"/>
      <c r="BB198" s="377"/>
      <c r="BC198" s="377"/>
      <c r="BD198" s="374"/>
      <c r="BE198" s="245">
        <f t="shared" si="305"/>
        <v>0</v>
      </c>
      <c r="BG198" s="43"/>
      <c r="BH198" s="24"/>
      <c r="BI198" s="24"/>
      <c r="BJ198" s="24"/>
      <c r="BK198" s="25"/>
      <c r="BL198" s="82"/>
      <c r="BM198" s="246"/>
      <c r="BN198" s="245">
        <f>SUM(BG198:BK198)</f>
        <v>0</v>
      </c>
      <c r="BO198" s="380"/>
      <c r="BP198" s="377"/>
      <c r="BQ198" s="377"/>
      <c r="BR198" s="377"/>
      <c r="BS198" s="377"/>
      <c r="BT198" s="377"/>
      <c r="BU198" s="374"/>
      <c r="BV198" s="245">
        <f t="shared" si="306"/>
        <v>0</v>
      </c>
      <c r="BX198" s="43"/>
      <c r="BY198" s="24"/>
      <c r="BZ198" s="24"/>
      <c r="CA198" s="24"/>
      <c r="CB198" s="25"/>
      <c r="CC198" s="82"/>
      <c r="CD198" s="246"/>
      <c r="CE198" s="245">
        <f>SUM(BX198:CB198)</f>
        <v>0</v>
      </c>
      <c r="CF198" s="380"/>
      <c r="CG198" s="377"/>
      <c r="CH198" s="377"/>
      <c r="CI198" s="377"/>
      <c r="CJ198" s="377"/>
      <c r="CK198" s="377"/>
      <c r="CL198" s="374"/>
      <c r="CM198" s="245">
        <f t="shared" si="307"/>
        <v>0</v>
      </c>
      <c r="CN198" s="39"/>
      <c r="CO198" s="3"/>
      <c r="CP198" s="75">
        <f t="shared" si="301"/>
        <v>0</v>
      </c>
      <c r="CQ198" s="3"/>
      <c r="CR198" s="76">
        <f t="shared" si="302"/>
        <v>0</v>
      </c>
      <c r="CT198" s="76">
        <f t="shared" si="233"/>
        <v>0</v>
      </c>
    </row>
    <row r="199" spans="1:98" ht="15" customHeight="1" thickBot="1" x14ac:dyDescent="0.25">
      <c r="A199" s="393"/>
      <c r="B199" s="223"/>
      <c r="C199" s="224"/>
      <c r="D199" s="225" t="s">
        <v>22</v>
      </c>
      <c r="E199" s="224"/>
      <c r="F199" s="325"/>
      <c r="H199" s="141"/>
      <c r="I199" s="142"/>
      <c r="J199" s="142"/>
      <c r="K199" s="142"/>
      <c r="L199" s="142"/>
      <c r="M199" s="227"/>
      <c r="N199" s="228"/>
      <c r="O199" s="229">
        <f>SUM(O193:O198)</f>
        <v>0</v>
      </c>
      <c r="P199" s="230"/>
      <c r="Q199" s="230"/>
      <c r="R199" s="230"/>
      <c r="S199" s="230"/>
      <c r="T199" s="230"/>
      <c r="U199" s="230"/>
      <c r="V199" s="228"/>
      <c r="W199" s="229">
        <f>SUM(W193:W198)</f>
        <v>0</v>
      </c>
      <c r="Y199" s="141"/>
      <c r="Z199" s="142"/>
      <c r="AA199" s="142"/>
      <c r="AB199" s="142"/>
      <c r="AC199" s="142"/>
      <c r="AD199" s="227"/>
      <c r="AE199" s="228"/>
      <c r="AF199" s="229">
        <f>SUM(AF193:AF198)</f>
        <v>0</v>
      </c>
      <c r="AG199" s="230"/>
      <c r="AH199" s="230"/>
      <c r="AI199" s="230"/>
      <c r="AJ199" s="230"/>
      <c r="AK199" s="230"/>
      <c r="AL199" s="230"/>
      <c r="AM199" s="228"/>
      <c r="AN199" s="229">
        <f>SUM(AN193:AN198)</f>
        <v>0</v>
      </c>
      <c r="AP199" s="141"/>
      <c r="AQ199" s="142"/>
      <c r="AR199" s="142"/>
      <c r="AS199" s="142"/>
      <c r="AT199" s="142"/>
      <c r="AU199" s="227"/>
      <c r="AV199" s="228"/>
      <c r="AW199" s="229">
        <f>SUM(AW193:AW198)</f>
        <v>0</v>
      </c>
      <c r="AX199" s="230"/>
      <c r="AY199" s="230"/>
      <c r="AZ199" s="230"/>
      <c r="BA199" s="230"/>
      <c r="BB199" s="230"/>
      <c r="BC199" s="230"/>
      <c r="BD199" s="228"/>
      <c r="BE199" s="229">
        <f>SUM(BE193:BE198)</f>
        <v>0</v>
      </c>
      <c r="BG199" s="141"/>
      <c r="BH199" s="142"/>
      <c r="BI199" s="142"/>
      <c r="BJ199" s="142"/>
      <c r="BK199" s="142"/>
      <c r="BL199" s="227"/>
      <c r="BM199" s="228"/>
      <c r="BN199" s="229">
        <f>SUM(BN193:BN198)</f>
        <v>0</v>
      </c>
      <c r="BO199" s="230"/>
      <c r="BP199" s="230"/>
      <c r="BQ199" s="230"/>
      <c r="BR199" s="230"/>
      <c r="BS199" s="230"/>
      <c r="BT199" s="230"/>
      <c r="BU199" s="228"/>
      <c r="BV199" s="229">
        <f>SUM(BV193:BV198)</f>
        <v>0</v>
      </c>
      <c r="BX199" s="141"/>
      <c r="BY199" s="142"/>
      <c r="BZ199" s="142"/>
      <c r="CA199" s="142"/>
      <c r="CB199" s="142"/>
      <c r="CC199" s="227"/>
      <c r="CD199" s="228"/>
      <c r="CE199" s="229">
        <f>SUM(CE193:CE198)</f>
        <v>0</v>
      </c>
      <c r="CF199" s="230"/>
      <c r="CG199" s="230"/>
      <c r="CH199" s="230"/>
      <c r="CI199" s="230"/>
      <c r="CJ199" s="230"/>
      <c r="CK199" s="230"/>
      <c r="CL199" s="228"/>
      <c r="CM199" s="229">
        <f>SUM(CM193:CM198)</f>
        <v>0</v>
      </c>
      <c r="CN199" s="39"/>
      <c r="CO199" s="3"/>
      <c r="CP199" s="217">
        <f>SUM(CP193:CP198)</f>
        <v>0</v>
      </c>
      <c r="CQ199" s="3"/>
      <c r="CR199" s="217">
        <f>SUM(CR193:CR198)</f>
        <v>0</v>
      </c>
      <c r="CT199" s="217"/>
    </row>
    <row r="200" spans="1:98" ht="15" customHeight="1" x14ac:dyDescent="0.2">
      <c r="A200" s="391" t="s">
        <v>408</v>
      </c>
      <c r="B200" s="421" t="s">
        <v>188</v>
      </c>
      <c r="C200" s="236" t="s">
        <v>310</v>
      </c>
      <c r="D200" s="256" t="s">
        <v>83</v>
      </c>
      <c r="E200" s="236" t="s">
        <v>185</v>
      </c>
      <c r="F200" s="304">
        <f>F1*(0.008*(1.014*1.012*1.015)*1.1/1.13)*1.028</f>
        <v>8.5343352705300971E-3</v>
      </c>
      <c r="H200" s="41"/>
      <c r="I200" s="46"/>
      <c r="J200" s="46"/>
      <c r="K200" s="46"/>
      <c r="L200" s="47"/>
      <c r="M200" s="92">
        <f>SUM(H200:L200)</f>
        <v>0</v>
      </c>
      <c r="N200" s="193">
        <v>1</v>
      </c>
      <c r="O200" s="238">
        <f>$F200*M200*N200</f>
        <v>0</v>
      </c>
      <c r="P200" s="378">
        <f>VLOOKUP(P5,'Databaze rizik'!$K$2:$Z$6,14,FALSE)/100+1</f>
        <v>1.08</v>
      </c>
      <c r="Q200" s="375">
        <f>VLOOKUP(Q5,'Databaze rizik'!$K$21:$Z$25,14,FALSE)/100+1</f>
        <v>1.04</v>
      </c>
      <c r="R200" s="375">
        <f>VLOOKUP(R5,'Databaze rizik'!$K$41:$Z$45,14,FALSE)/100+1</f>
        <v>1</v>
      </c>
      <c r="S200" s="375">
        <f>VLOOKUP(S5,'Databaze rizik'!$K$61:$Z$66,14,FALSE)/100+1</f>
        <v>1.02</v>
      </c>
      <c r="T200" s="375">
        <f>VLOOKUP(T5,'Databaze rizik'!$K$81:$Z$85,14,FALSE)/100+1</f>
        <v>1.01</v>
      </c>
      <c r="U200" s="375">
        <f>VLOOKUP(U5,'Databaze rizik'!$K$101:$Z$105,14,FALSE)/100+1</f>
        <v>1.01</v>
      </c>
      <c r="V200" s="372">
        <f t="shared" ref="V200" si="308">P200*Q200*R200*S200*T200*U200</f>
        <v>1.1686918464000002</v>
      </c>
      <c r="W200" s="238">
        <f>O200*V$200</f>
        <v>0</v>
      </c>
      <c r="Y200" s="41"/>
      <c r="Z200" s="46"/>
      <c r="AA200" s="46"/>
      <c r="AB200" s="46"/>
      <c r="AC200" s="47"/>
      <c r="AD200" s="92">
        <f>SUM(Y200:AC200)</f>
        <v>0</v>
      </c>
      <c r="AE200" s="193">
        <v>1</v>
      </c>
      <c r="AF200" s="238">
        <f>$F200*AD200*AE200</f>
        <v>0</v>
      </c>
      <c r="AG200" s="378">
        <f>VLOOKUP(AG5,'Databaze rizik'!$K$2:$Z$6,14,FALSE)/100+1</f>
        <v>1.08</v>
      </c>
      <c r="AH200" s="375">
        <f>VLOOKUP(AH5,'Databaze rizik'!$K$21:$Z$25,14,FALSE)/100+1</f>
        <v>1.04</v>
      </c>
      <c r="AI200" s="375">
        <f>VLOOKUP(AI5,'Databaze rizik'!$K$41:$Z$45,14,FALSE)/100+1</f>
        <v>1</v>
      </c>
      <c r="AJ200" s="375">
        <f>VLOOKUP(AJ5,'Databaze rizik'!$K$61:$Z$66,14,FALSE)/100+1</f>
        <v>1.02</v>
      </c>
      <c r="AK200" s="375">
        <f>VLOOKUP(AK5,'Databaze rizik'!$K$81:$Z$85,14,FALSE)/100+1</f>
        <v>1.01</v>
      </c>
      <c r="AL200" s="375">
        <f>VLOOKUP(AL5,'Databaze rizik'!$K$101:$Z$105,14,FALSE)/100+1</f>
        <v>1.01</v>
      </c>
      <c r="AM200" s="372">
        <f t="shared" ref="AM200" si="309">AG200*AH200*AI200*AJ200*AK200*AL200</f>
        <v>1.1686918464000002</v>
      </c>
      <c r="AN200" s="238">
        <f>AF200*AM$200</f>
        <v>0</v>
      </c>
      <c r="AP200" s="41"/>
      <c r="AQ200" s="46"/>
      <c r="AR200" s="46"/>
      <c r="AS200" s="46"/>
      <c r="AT200" s="47"/>
      <c r="AU200" s="92">
        <f>SUM(AP200:AT200)</f>
        <v>0</v>
      </c>
      <c r="AV200" s="193">
        <v>1</v>
      </c>
      <c r="AW200" s="238">
        <f>$F200*AU200*AV200</f>
        <v>0</v>
      </c>
      <c r="AX200" s="378">
        <f>VLOOKUP(AX5,'Databaze rizik'!$K$2:$Z$6,14,FALSE)/100+1</f>
        <v>1.08</v>
      </c>
      <c r="AY200" s="375">
        <f>VLOOKUP(AY5,'Databaze rizik'!$K$21:$Z$25,14,FALSE)/100+1</f>
        <v>1.04</v>
      </c>
      <c r="AZ200" s="375">
        <f>VLOOKUP(AZ5,'Databaze rizik'!$K$41:$Z$45,14,FALSE)/100+1</f>
        <v>1</v>
      </c>
      <c r="BA200" s="375">
        <f>VLOOKUP(BA5,'Databaze rizik'!$K$61:$Z$66,14,FALSE)/100+1</f>
        <v>1.02</v>
      </c>
      <c r="BB200" s="375">
        <f>VLOOKUP(BB5,'Databaze rizik'!$K$81:$Z$85,14,FALSE)/100+1</f>
        <v>1.01</v>
      </c>
      <c r="BC200" s="375">
        <f>VLOOKUP(BC5,'Databaze rizik'!$K$101:$Z$105,14,FALSE)/100+1</f>
        <v>1.01</v>
      </c>
      <c r="BD200" s="372">
        <f t="shared" ref="BD200" si="310">AX200*AY200*AZ200*BA200*BB200*BC200</f>
        <v>1.1686918464000002</v>
      </c>
      <c r="BE200" s="238">
        <f>AW200*BD$200</f>
        <v>0</v>
      </c>
      <c r="BG200" s="41"/>
      <c r="BH200" s="46"/>
      <c r="BI200" s="46"/>
      <c r="BJ200" s="46"/>
      <c r="BK200" s="47"/>
      <c r="BL200" s="92">
        <f>SUM(BG200:BK200)</f>
        <v>0</v>
      </c>
      <c r="BM200" s="193">
        <v>1</v>
      </c>
      <c r="BN200" s="238">
        <f>$F200*BL200*BM200</f>
        <v>0</v>
      </c>
      <c r="BO200" s="378">
        <f>VLOOKUP(BO5,'Databaze rizik'!$K$2:$Z$6,14,FALSE)/100+1</f>
        <v>1</v>
      </c>
      <c r="BP200" s="375">
        <f>VLOOKUP(BP5,'Databaze rizik'!$K$21:$Z$25,14,FALSE)/100+1</f>
        <v>1</v>
      </c>
      <c r="BQ200" s="375">
        <f>VLOOKUP(BQ5,'Databaze rizik'!$K$41:$Z$45,14,FALSE)/100+1</f>
        <v>1</v>
      </c>
      <c r="BR200" s="375">
        <f>VLOOKUP(BR5,'Databaze rizik'!$K$61:$Z$66,14,FALSE)/100+1</f>
        <v>1.02</v>
      </c>
      <c r="BS200" s="375">
        <f>VLOOKUP(BS5,'Databaze rizik'!$K$81:$Z$85,14,FALSE)/100+1</f>
        <v>1.01</v>
      </c>
      <c r="BT200" s="375">
        <f>VLOOKUP(BT5,'Databaze rizik'!$K$101:$Z$105,14,FALSE)/100+1</f>
        <v>1.01</v>
      </c>
      <c r="BU200" s="372">
        <f t="shared" ref="BU200" si="311">BO200*BP200*BQ200*BR200*BS200*BT200</f>
        <v>1.040502</v>
      </c>
      <c r="BV200" s="238">
        <f>BN200*BU$200</f>
        <v>0</v>
      </c>
      <c r="BX200" s="41"/>
      <c r="BY200" s="46"/>
      <c r="BZ200" s="46"/>
      <c r="CA200" s="46"/>
      <c r="CB200" s="47"/>
      <c r="CC200" s="92">
        <f>SUM(BX200:CB200)</f>
        <v>0</v>
      </c>
      <c r="CD200" s="193">
        <v>1</v>
      </c>
      <c r="CE200" s="238">
        <f>$F200*CC200*CD200</f>
        <v>0</v>
      </c>
      <c r="CF200" s="378">
        <f>VLOOKUP(CF5,'Databaze rizik'!$K$2:$Z$6,14,FALSE)/100+1</f>
        <v>1</v>
      </c>
      <c r="CG200" s="375">
        <f>VLOOKUP(CG5,'Databaze rizik'!$K$21:$Z$25,14,FALSE)/100+1</f>
        <v>1</v>
      </c>
      <c r="CH200" s="375">
        <f>VLOOKUP(CH5,'Databaze rizik'!$K$41:$Z$45,14,FALSE)/100+1</f>
        <v>1</v>
      </c>
      <c r="CI200" s="375">
        <f>VLOOKUP(CI5,'Databaze rizik'!$K$61:$Z$66,14,FALSE)/100+1</f>
        <v>1.02</v>
      </c>
      <c r="CJ200" s="375">
        <f>VLOOKUP(CJ5,'Databaze rizik'!$K$81:$Z$85,14,FALSE)/100+1</f>
        <v>1.01</v>
      </c>
      <c r="CK200" s="375">
        <f>VLOOKUP(CK5,'Databaze rizik'!$K$101:$Z$105,14,FALSE)/100+1</f>
        <v>1.01</v>
      </c>
      <c r="CL200" s="372">
        <f t="shared" ref="CL200" si="312">CF200*CG200*CH200*CI200*CJ200*CK200</f>
        <v>1.040502</v>
      </c>
      <c r="CM200" s="238">
        <f>CE200*CL$200</f>
        <v>0</v>
      </c>
      <c r="CN200" s="39"/>
      <c r="CO200" s="55"/>
      <c r="CP200" s="77">
        <f t="shared" ref="CP200:CP213" si="313">SUMIF(H$1:CM$1,1,H200:CM200)</f>
        <v>0</v>
      </c>
      <c r="CQ200" s="3"/>
      <c r="CR200" s="77">
        <f t="shared" ref="CR200:CR213" si="314">SUMIF(H$1:CM$1,2,H200:CM200)</f>
        <v>0</v>
      </c>
      <c r="CT200" s="77">
        <f t="shared" ref="CT200:CT240" si="315">SUMIF(H$1:CM$1,3,H200:CM200)</f>
        <v>0</v>
      </c>
    </row>
    <row r="201" spans="1:98" ht="15" customHeight="1" x14ac:dyDescent="0.2">
      <c r="A201" s="392"/>
      <c r="B201" s="416"/>
      <c r="C201" s="234" t="s">
        <v>311</v>
      </c>
      <c r="D201" s="252" t="s">
        <v>84</v>
      </c>
      <c r="E201" s="234" t="s">
        <v>185</v>
      </c>
      <c r="F201" s="301">
        <f>F1*(0.0055*(1.014*1.012*1.015)*1.1/1.13)*1.028</f>
        <v>5.867355498489441E-3</v>
      </c>
      <c r="H201" s="43"/>
      <c r="I201" s="24"/>
      <c r="J201" s="24"/>
      <c r="K201" s="24"/>
      <c r="L201" s="25"/>
      <c r="M201" s="82">
        <f>SUM(H201:L201)</f>
        <v>0</v>
      </c>
      <c r="N201" s="198">
        <v>1</v>
      </c>
      <c r="O201" s="245">
        <f>$F201*M201*N201</f>
        <v>0</v>
      </c>
      <c r="P201" s="379"/>
      <c r="Q201" s="376"/>
      <c r="R201" s="376"/>
      <c r="S201" s="376"/>
      <c r="T201" s="376"/>
      <c r="U201" s="376"/>
      <c r="V201" s="373"/>
      <c r="W201" s="245">
        <f t="shared" ref="W201:W213" si="316">O201*V$200</f>
        <v>0</v>
      </c>
      <c r="Y201" s="43"/>
      <c r="Z201" s="24"/>
      <c r="AA201" s="24"/>
      <c r="AB201" s="24"/>
      <c r="AC201" s="25"/>
      <c r="AD201" s="82">
        <f>SUM(Y201:AC201)</f>
        <v>0</v>
      </c>
      <c r="AE201" s="198">
        <v>1</v>
      </c>
      <c r="AF201" s="245">
        <f>$F201*AD201*AE201</f>
        <v>0</v>
      </c>
      <c r="AG201" s="379"/>
      <c r="AH201" s="376"/>
      <c r="AI201" s="376"/>
      <c r="AJ201" s="376"/>
      <c r="AK201" s="376"/>
      <c r="AL201" s="376"/>
      <c r="AM201" s="373"/>
      <c r="AN201" s="245">
        <f t="shared" ref="AN201:AN213" si="317">AF201*AM$200</f>
        <v>0</v>
      </c>
      <c r="AP201" s="43"/>
      <c r="AQ201" s="24"/>
      <c r="AR201" s="24"/>
      <c r="AS201" s="24"/>
      <c r="AT201" s="25"/>
      <c r="AU201" s="82">
        <f>SUM(AP201:AT201)</f>
        <v>0</v>
      </c>
      <c r="AV201" s="198">
        <v>1</v>
      </c>
      <c r="AW201" s="245">
        <f>$F201*AU201*AV201</f>
        <v>0</v>
      </c>
      <c r="AX201" s="379"/>
      <c r="AY201" s="376"/>
      <c r="AZ201" s="376"/>
      <c r="BA201" s="376"/>
      <c r="BB201" s="376"/>
      <c r="BC201" s="376"/>
      <c r="BD201" s="373"/>
      <c r="BE201" s="245">
        <f t="shared" ref="BE201:BE213" si="318">AW201*BD$200</f>
        <v>0</v>
      </c>
      <c r="BG201" s="43"/>
      <c r="BH201" s="24"/>
      <c r="BI201" s="24"/>
      <c r="BJ201" s="24"/>
      <c r="BK201" s="25"/>
      <c r="BL201" s="82">
        <f>SUM(BG201:BK201)</f>
        <v>0</v>
      </c>
      <c r="BM201" s="198">
        <v>1</v>
      </c>
      <c r="BN201" s="245">
        <f>$F201*BL201*BM201</f>
        <v>0</v>
      </c>
      <c r="BO201" s="379"/>
      <c r="BP201" s="376"/>
      <c r="BQ201" s="376"/>
      <c r="BR201" s="376"/>
      <c r="BS201" s="376"/>
      <c r="BT201" s="376"/>
      <c r="BU201" s="373"/>
      <c r="BV201" s="245">
        <f t="shared" ref="BV201:BV213" si="319">BN201*BU$200</f>
        <v>0</v>
      </c>
      <c r="BX201" s="43"/>
      <c r="BY201" s="24"/>
      <c r="BZ201" s="24"/>
      <c r="CA201" s="24"/>
      <c r="CB201" s="25"/>
      <c r="CC201" s="82">
        <f>SUM(BX201:CB201)</f>
        <v>0</v>
      </c>
      <c r="CD201" s="198">
        <v>1</v>
      </c>
      <c r="CE201" s="245">
        <f>$F201*CC201*CD201</f>
        <v>0</v>
      </c>
      <c r="CF201" s="379"/>
      <c r="CG201" s="376"/>
      <c r="CH201" s="376"/>
      <c r="CI201" s="376"/>
      <c r="CJ201" s="376"/>
      <c r="CK201" s="376"/>
      <c r="CL201" s="373"/>
      <c r="CM201" s="245">
        <f t="shared" ref="CM201:CM213" si="320">CE201*CL$200</f>
        <v>0</v>
      </c>
      <c r="CN201" s="39"/>
      <c r="CO201" s="55"/>
      <c r="CP201" s="75">
        <f t="shared" si="313"/>
        <v>0</v>
      </c>
      <c r="CQ201" s="3"/>
      <c r="CR201" s="76">
        <f t="shared" si="314"/>
        <v>0</v>
      </c>
      <c r="CT201" s="76">
        <f t="shared" si="315"/>
        <v>0</v>
      </c>
    </row>
    <row r="202" spans="1:98" ht="15" customHeight="1" x14ac:dyDescent="0.2">
      <c r="A202" s="392"/>
      <c r="B202" s="416"/>
      <c r="C202" s="234" t="s">
        <v>312</v>
      </c>
      <c r="D202" s="252" t="s">
        <v>85</v>
      </c>
      <c r="E202" s="234" t="s">
        <v>185</v>
      </c>
      <c r="F202" s="301">
        <f>F1*(0.01*(1.014*1.012*1.015)*1.1/1.13)*1.028</f>
        <v>1.0667919088162619E-2</v>
      </c>
      <c r="H202" s="43"/>
      <c r="I202" s="24"/>
      <c r="J202" s="24"/>
      <c r="K202" s="24"/>
      <c r="L202" s="25"/>
      <c r="M202" s="82">
        <f>SUM(H202:L202)</f>
        <v>0</v>
      </c>
      <c r="N202" s="198">
        <v>1</v>
      </c>
      <c r="O202" s="245">
        <f>$F202*M202*N202</f>
        <v>0</v>
      </c>
      <c r="P202" s="379"/>
      <c r="Q202" s="376"/>
      <c r="R202" s="376"/>
      <c r="S202" s="376"/>
      <c r="T202" s="376"/>
      <c r="U202" s="376"/>
      <c r="V202" s="373"/>
      <c r="W202" s="245">
        <f t="shared" si="316"/>
        <v>0</v>
      </c>
      <c r="Y202" s="43"/>
      <c r="Z202" s="24"/>
      <c r="AA202" s="24"/>
      <c r="AB202" s="24"/>
      <c r="AC202" s="25"/>
      <c r="AD202" s="82">
        <f>SUM(Y202:AC202)</f>
        <v>0</v>
      </c>
      <c r="AE202" s="198">
        <v>1</v>
      </c>
      <c r="AF202" s="245">
        <f>$F202*AD202*AE202</f>
        <v>0</v>
      </c>
      <c r="AG202" s="379"/>
      <c r="AH202" s="376"/>
      <c r="AI202" s="376"/>
      <c r="AJ202" s="376"/>
      <c r="AK202" s="376"/>
      <c r="AL202" s="376"/>
      <c r="AM202" s="373"/>
      <c r="AN202" s="245">
        <f t="shared" si="317"/>
        <v>0</v>
      </c>
      <c r="AP202" s="43"/>
      <c r="AQ202" s="24"/>
      <c r="AR202" s="24"/>
      <c r="AS202" s="24"/>
      <c r="AT202" s="25"/>
      <c r="AU202" s="82">
        <f>SUM(AP202:AT202)</f>
        <v>0</v>
      </c>
      <c r="AV202" s="198">
        <v>1</v>
      </c>
      <c r="AW202" s="245">
        <f>$F202*AU202*AV202</f>
        <v>0</v>
      </c>
      <c r="AX202" s="379"/>
      <c r="AY202" s="376"/>
      <c r="AZ202" s="376"/>
      <c r="BA202" s="376"/>
      <c r="BB202" s="376"/>
      <c r="BC202" s="376"/>
      <c r="BD202" s="373"/>
      <c r="BE202" s="245">
        <f t="shared" si="318"/>
        <v>0</v>
      </c>
      <c r="BG202" s="43"/>
      <c r="BH202" s="24"/>
      <c r="BI202" s="24"/>
      <c r="BJ202" s="24"/>
      <c r="BK202" s="25"/>
      <c r="BL202" s="82">
        <f>SUM(BG202:BK202)</f>
        <v>0</v>
      </c>
      <c r="BM202" s="198">
        <v>1</v>
      </c>
      <c r="BN202" s="245">
        <f>$F202*BL202*BM202</f>
        <v>0</v>
      </c>
      <c r="BO202" s="379"/>
      <c r="BP202" s="376"/>
      <c r="BQ202" s="376"/>
      <c r="BR202" s="376"/>
      <c r="BS202" s="376"/>
      <c r="BT202" s="376"/>
      <c r="BU202" s="373"/>
      <c r="BV202" s="245">
        <f t="shared" si="319"/>
        <v>0</v>
      </c>
      <c r="BX202" s="43"/>
      <c r="BY202" s="24"/>
      <c r="BZ202" s="24"/>
      <c r="CA202" s="24"/>
      <c r="CB202" s="25"/>
      <c r="CC202" s="82">
        <f>SUM(BX202:CB202)</f>
        <v>0</v>
      </c>
      <c r="CD202" s="198">
        <v>1</v>
      </c>
      <c r="CE202" s="245">
        <f>$F202*CC202*CD202</f>
        <v>0</v>
      </c>
      <c r="CF202" s="379"/>
      <c r="CG202" s="376"/>
      <c r="CH202" s="376"/>
      <c r="CI202" s="376"/>
      <c r="CJ202" s="376"/>
      <c r="CK202" s="376"/>
      <c r="CL202" s="373"/>
      <c r="CM202" s="245">
        <f t="shared" si="320"/>
        <v>0</v>
      </c>
      <c r="CN202" s="39"/>
      <c r="CO202" s="55"/>
      <c r="CP202" s="75">
        <f t="shared" si="313"/>
        <v>0</v>
      </c>
      <c r="CQ202" s="3"/>
      <c r="CR202" s="76">
        <f t="shared" si="314"/>
        <v>0</v>
      </c>
      <c r="CT202" s="76">
        <f t="shared" si="315"/>
        <v>0</v>
      </c>
    </row>
    <row r="203" spans="1:98" ht="15" customHeight="1" x14ac:dyDescent="0.2">
      <c r="A203" s="392"/>
      <c r="B203" s="416"/>
      <c r="C203" s="234" t="s">
        <v>313</v>
      </c>
      <c r="D203" s="252" t="s">
        <v>86</v>
      </c>
      <c r="E203" s="234" t="s">
        <v>185</v>
      </c>
      <c r="F203" s="301">
        <f>F1*(0.007*(1.014*1.012*1.015)*1.1/1.13)*1.028</f>
        <v>7.4675433617138343E-3</v>
      </c>
      <c r="H203" s="43"/>
      <c r="I203" s="24"/>
      <c r="J203" s="24"/>
      <c r="K203" s="24"/>
      <c r="L203" s="25"/>
      <c r="M203" s="82">
        <f t="shared" ref="M203:M206" si="321">SUM(H203:L203)</f>
        <v>0</v>
      </c>
      <c r="N203" s="198">
        <v>1</v>
      </c>
      <c r="O203" s="245">
        <f t="shared" ref="O203:O206" si="322">$F203*M203*N203</f>
        <v>0</v>
      </c>
      <c r="P203" s="379"/>
      <c r="Q203" s="376"/>
      <c r="R203" s="376"/>
      <c r="S203" s="376"/>
      <c r="T203" s="376"/>
      <c r="U203" s="376"/>
      <c r="V203" s="373"/>
      <c r="W203" s="245">
        <f t="shared" si="316"/>
        <v>0</v>
      </c>
      <c r="Y203" s="43">
        <v>800</v>
      </c>
      <c r="Z203" s="24"/>
      <c r="AA203" s="24"/>
      <c r="AB203" s="24"/>
      <c r="AC203" s="25"/>
      <c r="AD203" s="82">
        <f t="shared" ref="AD203:AD211" si="323">SUM(Y203:AC203)</f>
        <v>800</v>
      </c>
      <c r="AE203" s="198">
        <v>1</v>
      </c>
      <c r="AF203" s="245">
        <f t="shared" ref="AF203:AF211" si="324">$F203*AD203*AE203</f>
        <v>5.9740346893710674</v>
      </c>
      <c r="AG203" s="379"/>
      <c r="AH203" s="376"/>
      <c r="AI203" s="376"/>
      <c r="AJ203" s="376"/>
      <c r="AK203" s="376"/>
      <c r="AL203" s="376"/>
      <c r="AM203" s="373"/>
      <c r="AN203" s="245">
        <f t="shared" si="317"/>
        <v>6.9818056315787249</v>
      </c>
      <c r="AP203" s="43"/>
      <c r="AQ203" s="24"/>
      <c r="AR203" s="24"/>
      <c r="AS203" s="24"/>
      <c r="AT203" s="25"/>
      <c r="AU203" s="82">
        <f t="shared" ref="AU203:AU211" si="325">SUM(AP203:AT203)</f>
        <v>0</v>
      </c>
      <c r="AV203" s="198">
        <v>1</v>
      </c>
      <c r="AW203" s="245">
        <f t="shared" ref="AW203:AW211" si="326">$F203*AU203*AV203</f>
        <v>0</v>
      </c>
      <c r="AX203" s="379"/>
      <c r="AY203" s="376"/>
      <c r="AZ203" s="376"/>
      <c r="BA203" s="376"/>
      <c r="BB203" s="376"/>
      <c r="BC203" s="376"/>
      <c r="BD203" s="373"/>
      <c r="BE203" s="245">
        <f t="shared" si="318"/>
        <v>0</v>
      </c>
      <c r="BG203" s="43"/>
      <c r="BH203" s="24"/>
      <c r="BI203" s="24"/>
      <c r="BJ203" s="24"/>
      <c r="BK203" s="25"/>
      <c r="BL203" s="82">
        <f t="shared" ref="BL203:BL211" si="327">SUM(BG203:BK203)</f>
        <v>0</v>
      </c>
      <c r="BM203" s="198">
        <v>1</v>
      </c>
      <c r="BN203" s="245">
        <f t="shared" ref="BN203:BN211" si="328">$F203*BL203*BM203</f>
        <v>0</v>
      </c>
      <c r="BO203" s="379"/>
      <c r="BP203" s="376"/>
      <c r="BQ203" s="376"/>
      <c r="BR203" s="376"/>
      <c r="BS203" s="376"/>
      <c r="BT203" s="376"/>
      <c r="BU203" s="373"/>
      <c r="BV203" s="245">
        <f t="shared" si="319"/>
        <v>0</v>
      </c>
      <c r="BX203" s="43"/>
      <c r="BY203" s="24"/>
      <c r="BZ203" s="24"/>
      <c r="CA203" s="24"/>
      <c r="CB203" s="25"/>
      <c r="CC203" s="82">
        <f t="shared" ref="CC203:CC211" si="329">SUM(BX203:CB203)</f>
        <v>0</v>
      </c>
      <c r="CD203" s="198">
        <v>1</v>
      </c>
      <c r="CE203" s="245">
        <f t="shared" ref="CE203:CE211" si="330">$F203*CC203*CD203</f>
        <v>0</v>
      </c>
      <c r="CF203" s="379"/>
      <c r="CG203" s="376"/>
      <c r="CH203" s="376"/>
      <c r="CI203" s="376"/>
      <c r="CJ203" s="376"/>
      <c r="CK203" s="376"/>
      <c r="CL203" s="373"/>
      <c r="CM203" s="245">
        <f t="shared" si="320"/>
        <v>0</v>
      </c>
      <c r="CN203" s="39"/>
      <c r="CO203" s="55"/>
      <c r="CP203" s="75">
        <f t="shared" si="313"/>
        <v>5.9740346893710674</v>
      </c>
      <c r="CQ203" s="3"/>
      <c r="CR203" s="76">
        <f t="shared" si="314"/>
        <v>6.9818056315787249</v>
      </c>
      <c r="CT203" s="76">
        <f t="shared" si="315"/>
        <v>800</v>
      </c>
    </row>
    <row r="204" spans="1:98" ht="15" customHeight="1" x14ac:dyDescent="0.2">
      <c r="A204" s="392"/>
      <c r="B204" s="416"/>
      <c r="C204" s="234" t="s">
        <v>314</v>
      </c>
      <c r="D204" s="252" t="s">
        <v>87</v>
      </c>
      <c r="E204" s="234" t="s">
        <v>3</v>
      </c>
      <c r="F204" s="301">
        <f>F1*(0.4*(1.014*1.012*1.015)*1.1/1.13)*1.028</f>
        <v>0.42671676352650484</v>
      </c>
      <c r="H204" s="43"/>
      <c r="I204" s="24"/>
      <c r="J204" s="24"/>
      <c r="K204" s="24"/>
      <c r="L204" s="25"/>
      <c r="M204" s="82">
        <f t="shared" si="321"/>
        <v>0</v>
      </c>
      <c r="N204" s="198">
        <v>1</v>
      </c>
      <c r="O204" s="245">
        <f t="shared" si="322"/>
        <v>0</v>
      </c>
      <c r="P204" s="379"/>
      <c r="Q204" s="376"/>
      <c r="R204" s="376"/>
      <c r="S204" s="376"/>
      <c r="T204" s="376"/>
      <c r="U204" s="376"/>
      <c r="V204" s="373"/>
      <c r="W204" s="245">
        <f t="shared" si="316"/>
        <v>0</v>
      </c>
      <c r="Y204" s="43"/>
      <c r="Z204" s="24"/>
      <c r="AA204" s="24"/>
      <c r="AB204" s="24"/>
      <c r="AC204" s="25"/>
      <c r="AD204" s="82">
        <f t="shared" si="323"/>
        <v>0</v>
      </c>
      <c r="AE204" s="198">
        <v>1</v>
      </c>
      <c r="AF204" s="245">
        <f t="shared" si="324"/>
        <v>0</v>
      </c>
      <c r="AG204" s="379"/>
      <c r="AH204" s="376"/>
      <c r="AI204" s="376"/>
      <c r="AJ204" s="376"/>
      <c r="AK204" s="376"/>
      <c r="AL204" s="376"/>
      <c r="AM204" s="373"/>
      <c r="AN204" s="245">
        <f t="shared" si="317"/>
        <v>0</v>
      </c>
      <c r="AP204" s="43"/>
      <c r="AQ204" s="24"/>
      <c r="AR204" s="24"/>
      <c r="AS204" s="24"/>
      <c r="AT204" s="25"/>
      <c r="AU204" s="82">
        <f t="shared" si="325"/>
        <v>0</v>
      </c>
      <c r="AV204" s="198">
        <v>1</v>
      </c>
      <c r="AW204" s="245">
        <f t="shared" si="326"/>
        <v>0</v>
      </c>
      <c r="AX204" s="379"/>
      <c r="AY204" s="376"/>
      <c r="AZ204" s="376"/>
      <c r="BA204" s="376"/>
      <c r="BB204" s="376"/>
      <c r="BC204" s="376"/>
      <c r="BD204" s="373"/>
      <c r="BE204" s="245">
        <f t="shared" si="318"/>
        <v>0</v>
      </c>
      <c r="BG204" s="43"/>
      <c r="BH204" s="24"/>
      <c r="BI204" s="24"/>
      <c r="BJ204" s="24"/>
      <c r="BK204" s="25"/>
      <c r="BL204" s="82">
        <f t="shared" si="327"/>
        <v>0</v>
      </c>
      <c r="BM204" s="198">
        <v>1</v>
      </c>
      <c r="BN204" s="245">
        <f t="shared" si="328"/>
        <v>0</v>
      </c>
      <c r="BO204" s="379"/>
      <c r="BP204" s="376"/>
      <c r="BQ204" s="376"/>
      <c r="BR204" s="376"/>
      <c r="BS204" s="376"/>
      <c r="BT204" s="376"/>
      <c r="BU204" s="373"/>
      <c r="BV204" s="245">
        <f t="shared" si="319"/>
        <v>0</v>
      </c>
      <c r="BX204" s="43"/>
      <c r="BY204" s="24"/>
      <c r="BZ204" s="24"/>
      <c r="CA204" s="24"/>
      <c r="CB204" s="25"/>
      <c r="CC204" s="82">
        <f t="shared" si="329"/>
        <v>0</v>
      </c>
      <c r="CD204" s="198">
        <v>1</v>
      </c>
      <c r="CE204" s="245">
        <f t="shared" si="330"/>
        <v>0</v>
      </c>
      <c r="CF204" s="379"/>
      <c r="CG204" s="376"/>
      <c r="CH204" s="376"/>
      <c r="CI204" s="376"/>
      <c r="CJ204" s="376"/>
      <c r="CK204" s="376"/>
      <c r="CL204" s="373"/>
      <c r="CM204" s="245">
        <f t="shared" si="320"/>
        <v>0</v>
      </c>
      <c r="CN204" s="39"/>
      <c r="CO204" s="55"/>
      <c r="CP204" s="75">
        <f t="shared" si="313"/>
        <v>0</v>
      </c>
      <c r="CQ204" s="3"/>
      <c r="CR204" s="76">
        <f t="shared" si="314"/>
        <v>0</v>
      </c>
      <c r="CT204" s="76">
        <f t="shared" si="315"/>
        <v>0</v>
      </c>
    </row>
    <row r="205" spans="1:98" ht="15" customHeight="1" x14ac:dyDescent="0.2">
      <c r="A205" s="392"/>
      <c r="B205" s="416"/>
      <c r="C205" s="234" t="s">
        <v>315</v>
      </c>
      <c r="D205" s="252" t="s">
        <v>90</v>
      </c>
      <c r="E205" s="234" t="s">
        <v>185</v>
      </c>
      <c r="F205" s="301">
        <f>F1*(0.0012*(1.014*1.012*1.015)*1.1/1.13)*1.028</f>
        <v>1.2801502905795145E-3</v>
      </c>
      <c r="H205" s="43"/>
      <c r="I205" s="24"/>
      <c r="J205" s="24"/>
      <c r="K205" s="24"/>
      <c r="L205" s="25"/>
      <c r="M205" s="82">
        <f t="shared" si="321"/>
        <v>0</v>
      </c>
      <c r="N205" s="198">
        <v>1</v>
      </c>
      <c r="O205" s="245">
        <f t="shared" si="322"/>
        <v>0</v>
      </c>
      <c r="P205" s="379"/>
      <c r="Q205" s="376"/>
      <c r="R205" s="376"/>
      <c r="S205" s="376"/>
      <c r="T205" s="376"/>
      <c r="U205" s="376"/>
      <c r="V205" s="373"/>
      <c r="W205" s="245">
        <f t="shared" si="316"/>
        <v>0</v>
      </c>
      <c r="Y205" s="43"/>
      <c r="Z205" s="24"/>
      <c r="AA205" s="24"/>
      <c r="AB205" s="24"/>
      <c r="AC205" s="25"/>
      <c r="AD205" s="82">
        <f t="shared" si="323"/>
        <v>0</v>
      </c>
      <c r="AE205" s="198">
        <v>1</v>
      </c>
      <c r="AF205" s="245">
        <f t="shared" si="324"/>
        <v>0</v>
      </c>
      <c r="AG205" s="379"/>
      <c r="AH205" s="376"/>
      <c r="AI205" s="376"/>
      <c r="AJ205" s="376"/>
      <c r="AK205" s="376"/>
      <c r="AL205" s="376"/>
      <c r="AM205" s="373"/>
      <c r="AN205" s="245">
        <f t="shared" si="317"/>
        <v>0</v>
      </c>
      <c r="AP205" s="43"/>
      <c r="AQ205" s="24"/>
      <c r="AR205" s="24"/>
      <c r="AS205" s="24"/>
      <c r="AT205" s="25"/>
      <c r="AU205" s="82">
        <f t="shared" si="325"/>
        <v>0</v>
      </c>
      <c r="AV205" s="198">
        <v>1</v>
      </c>
      <c r="AW205" s="245">
        <f t="shared" si="326"/>
        <v>0</v>
      </c>
      <c r="AX205" s="379"/>
      <c r="AY205" s="376"/>
      <c r="AZ205" s="376"/>
      <c r="BA205" s="376"/>
      <c r="BB205" s="376"/>
      <c r="BC205" s="376"/>
      <c r="BD205" s="373"/>
      <c r="BE205" s="245">
        <f t="shared" si="318"/>
        <v>0</v>
      </c>
      <c r="BG205" s="43"/>
      <c r="BH205" s="24"/>
      <c r="BI205" s="24"/>
      <c r="BJ205" s="24"/>
      <c r="BK205" s="25"/>
      <c r="BL205" s="82">
        <f t="shared" si="327"/>
        <v>0</v>
      </c>
      <c r="BM205" s="198">
        <v>1</v>
      </c>
      <c r="BN205" s="245">
        <f t="shared" si="328"/>
        <v>0</v>
      </c>
      <c r="BO205" s="379"/>
      <c r="BP205" s="376"/>
      <c r="BQ205" s="376"/>
      <c r="BR205" s="376"/>
      <c r="BS205" s="376"/>
      <c r="BT205" s="376"/>
      <c r="BU205" s="373"/>
      <c r="BV205" s="245">
        <f t="shared" si="319"/>
        <v>0</v>
      </c>
      <c r="BX205" s="43"/>
      <c r="BY205" s="24"/>
      <c r="BZ205" s="24"/>
      <c r="CA205" s="24"/>
      <c r="CB205" s="25"/>
      <c r="CC205" s="82">
        <f t="shared" si="329"/>
        <v>0</v>
      </c>
      <c r="CD205" s="198">
        <v>1</v>
      </c>
      <c r="CE205" s="245">
        <f t="shared" si="330"/>
        <v>0</v>
      </c>
      <c r="CF205" s="379"/>
      <c r="CG205" s="376"/>
      <c r="CH205" s="376"/>
      <c r="CI205" s="376"/>
      <c r="CJ205" s="376"/>
      <c r="CK205" s="376"/>
      <c r="CL205" s="373"/>
      <c r="CM205" s="245">
        <f t="shared" si="320"/>
        <v>0</v>
      </c>
      <c r="CN205" s="39"/>
      <c r="CO205" s="55"/>
      <c r="CP205" s="75">
        <f t="shared" si="313"/>
        <v>0</v>
      </c>
      <c r="CQ205" s="3"/>
      <c r="CR205" s="76">
        <f t="shared" si="314"/>
        <v>0</v>
      </c>
      <c r="CT205" s="76">
        <f t="shared" si="315"/>
        <v>0</v>
      </c>
    </row>
    <row r="206" spans="1:98" ht="15" customHeight="1" x14ac:dyDescent="0.2">
      <c r="A206" s="392"/>
      <c r="B206" s="417"/>
      <c r="C206" s="234" t="s">
        <v>316</v>
      </c>
      <c r="D206" s="252" t="s">
        <v>92</v>
      </c>
      <c r="E206" s="234" t="s">
        <v>59</v>
      </c>
      <c r="F206" s="301">
        <f>F1*(0.00125*(1.014*1.012*1.015)*1.1/1.13)*1.028</f>
        <v>1.3334898860203274E-3</v>
      </c>
      <c r="H206" s="43"/>
      <c r="I206" s="24"/>
      <c r="J206" s="24"/>
      <c r="K206" s="24"/>
      <c r="L206" s="25"/>
      <c r="M206" s="82">
        <f t="shared" si="321"/>
        <v>0</v>
      </c>
      <c r="N206" s="198">
        <v>1</v>
      </c>
      <c r="O206" s="245">
        <f t="shared" si="322"/>
        <v>0</v>
      </c>
      <c r="P206" s="379"/>
      <c r="Q206" s="376"/>
      <c r="R206" s="376"/>
      <c r="S206" s="376"/>
      <c r="T206" s="376"/>
      <c r="U206" s="376"/>
      <c r="V206" s="373"/>
      <c r="W206" s="245">
        <f t="shared" si="316"/>
        <v>0</v>
      </c>
      <c r="Y206" s="43"/>
      <c r="Z206" s="24"/>
      <c r="AA206" s="24"/>
      <c r="AB206" s="24"/>
      <c r="AC206" s="25"/>
      <c r="AD206" s="82">
        <f t="shared" si="323"/>
        <v>0</v>
      </c>
      <c r="AE206" s="198">
        <v>1</v>
      </c>
      <c r="AF206" s="245">
        <f t="shared" si="324"/>
        <v>0</v>
      </c>
      <c r="AG206" s="379"/>
      <c r="AH206" s="376"/>
      <c r="AI206" s="376"/>
      <c r="AJ206" s="376"/>
      <c r="AK206" s="376"/>
      <c r="AL206" s="376"/>
      <c r="AM206" s="373"/>
      <c r="AN206" s="245">
        <f t="shared" si="317"/>
        <v>0</v>
      </c>
      <c r="AP206" s="43"/>
      <c r="AQ206" s="24"/>
      <c r="AR206" s="24"/>
      <c r="AS206" s="24"/>
      <c r="AT206" s="25"/>
      <c r="AU206" s="82">
        <f t="shared" si="325"/>
        <v>0</v>
      </c>
      <c r="AV206" s="198">
        <v>1</v>
      </c>
      <c r="AW206" s="245">
        <f t="shared" si="326"/>
        <v>0</v>
      </c>
      <c r="AX206" s="379"/>
      <c r="AY206" s="376"/>
      <c r="AZ206" s="376"/>
      <c r="BA206" s="376"/>
      <c r="BB206" s="376"/>
      <c r="BC206" s="376"/>
      <c r="BD206" s="373"/>
      <c r="BE206" s="245">
        <f t="shared" si="318"/>
        <v>0</v>
      </c>
      <c r="BG206" s="43"/>
      <c r="BH206" s="24"/>
      <c r="BI206" s="24"/>
      <c r="BJ206" s="24"/>
      <c r="BK206" s="25"/>
      <c r="BL206" s="82">
        <f t="shared" si="327"/>
        <v>0</v>
      </c>
      <c r="BM206" s="198">
        <v>1</v>
      </c>
      <c r="BN206" s="245">
        <f t="shared" si="328"/>
        <v>0</v>
      </c>
      <c r="BO206" s="379"/>
      <c r="BP206" s="376"/>
      <c r="BQ206" s="376"/>
      <c r="BR206" s="376"/>
      <c r="BS206" s="376"/>
      <c r="BT206" s="376"/>
      <c r="BU206" s="373"/>
      <c r="BV206" s="245">
        <f t="shared" si="319"/>
        <v>0</v>
      </c>
      <c r="BX206" s="43"/>
      <c r="BY206" s="24"/>
      <c r="BZ206" s="24"/>
      <c r="CA206" s="24"/>
      <c r="CB206" s="25"/>
      <c r="CC206" s="82">
        <f t="shared" si="329"/>
        <v>0</v>
      </c>
      <c r="CD206" s="198">
        <v>1</v>
      </c>
      <c r="CE206" s="245">
        <f t="shared" si="330"/>
        <v>0</v>
      </c>
      <c r="CF206" s="379"/>
      <c r="CG206" s="376"/>
      <c r="CH206" s="376"/>
      <c r="CI206" s="376"/>
      <c r="CJ206" s="376"/>
      <c r="CK206" s="376"/>
      <c r="CL206" s="373"/>
      <c r="CM206" s="245">
        <f t="shared" si="320"/>
        <v>0</v>
      </c>
      <c r="CN206" s="39"/>
      <c r="CO206" s="55"/>
      <c r="CP206" s="75">
        <f t="shared" si="313"/>
        <v>0</v>
      </c>
      <c r="CQ206" s="3"/>
      <c r="CR206" s="76">
        <f t="shared" si="314"/>
        <v>0</v>
      </c>
      <c r="CT206" s="76">
        <f t="shared" si="315"/>
        <v>0</v>
      </c>
    </row>
    <row r="207" spans="1:98" ht="15" customHeight="1" x14ac:dyDescent="0.2">
      <c r="A207" s="392"/>
      <c r="B207" s="416" t="s">
        <v>88</v>
      </c>
      <c r="C207" s="234" t="s">
        <v>317</v>
      </c>
      <c r="D207" s="252" t="s">
        <v>88</v>
      </c>
      <c r="E207" s="234" t="s">
        <v>19</v>
      </c>
      <c r="F207" s="301">
        <f>F1*(0.012*(1.014*1.012*1.015)*1.1/1.13)*1.028</f>
        <v>1.2801502905795143E-2</v>
      </c>
      <c r="H207" s="43"/>
      <c r="I207" s="24"/>
      <c r="J207" s="24"/>
      <c r="K207" s="24"/>
      <c r="L207" s="25"/>
      <c r="M207" s="82">
        <f t="shared" ref="M207" si="331">SUM(H207:L207)</f>
        <v>0</v>
      </c>
      <c r="N207" s="198">
        <v>1</v>
      </c>
      <c r="O207" s="245">
        <f t="shared" ref="O207" si="332">$F207*M207*N207</f>
        <v>0</v>
      </c>
      <c r="P207" s="379"/>
      <c r="Q207" s="376"/>
      <c r="R207" s="376"/>
      <c r="S207" s="376"/>
      <c r="T207" s="376"/>
      <c r="U207" s="376"/>
      <c r="V207" s="373"/>
      <c r="W207" s="245">
        <f t="shared" si="316"/>
        <v>0</v>
      </c>
      <c r="Y207" s="43">
        <v>5040</v>
      </c>
      <c r="Z207" s="24"/>
      <c r="AA207" s="24"/>
      <c r="AB207" s="24"/>
      <c r="AC207" s="25"/>
      <c r="AD207" s="82">
        <f t="shared" ref="AD207" si="333">SUM(Y207:AC207)</f>
        <v>5040</v>
      </c>
      <c r="AE207" s="198">
        <v>1</v>
      </c>
      <c r="AF207" s="245">
        <f t="shared" ref="AF207" si="334">$F207*AD207*AE207</f>
        <v>64.519574645207527</v>
      </c>
      <c r="AG207" s="379"/>
      <c r="AH207" s="376"/>
      <c r="AI207" s="376"/>
      <c r="AJ207" s="376"/>
      <c r="AK207" s="376"/>
      <c r="AL207" s="376"/>
      <c r="AM207" s="373"/>
      <c r="AN207" s="245">
        <f t="shared" si="317"/>
        <v>75.40350082105023</v>
      </c>
      <c r="AP207" s="43"/>
      <c r="AQ207" s="24"/>
      <c r="AR207" s="24"/>
      <c r="AS207" s="24"/>
      <c r="AT207" s="25"/>
      <c r="AU207" s="82">
        <f t="shared" ref="AU207" si="335">SUM(AP207:AT207)</f>
        <v>0</v>
      </c>
      <c r="AV207" s="198">
        <v>1</v>
      </c>
      <c r="AW207" s="245">
        <f t="shared" ref="AW207" si="336">$F207*AU207*AV207</f>
        <v>0</v>
      </c>
      <c r="AX207" s="379"/>
      <c r="AY207" s="376"/>
      <c r="AZ207" s="376"/>
      <c r="BA207" s="376"/>
      <c r="BB207" s="376"/>
      <c r="BC207" s="376"/>
      <c r="BD207" s="373"/>
      <c r="BE207" s="245">
        <f t="shared" si="318"/>
        <v>0</v>
      </c>
      <c r="BG207" s="43"/>
      <c r="BH207" s="24"/>
      <c r="BI207" s="24"/>
      <c r="BJ207" s="24"/>
      <c r="BK207" s="25"/>
      <c r="BL207" s="82">
        <f t="shared" ref="BL207" si="337">SUM(BG207:BK207)</f>
        <v>0</v>
      </c>
      <c r="BM207" s="198">
        <v>1</v>
      </c>
      <c r="BN207" s="245">
        <f t="shared" ref="BN207" si="338">$F207*BL207*BM207</f>
        <v>0</v>
      </c>
      <c r="BO207" s="379"/>
      <c r="BP207" s="376"/>
      <c r="BQ207" s="376"/>
      <c r="BR207" s="376"/>
      <c r="BS207" s="376"/>
      <c r="BT207" s="376"/>
      <c r="BU207" s="373"/>
      <c r="BV207" s="245">
        <f t="shared" si="319"/>
        <v>0</v>
      </c>
      <c r="BX207" s="43"/>
      <c r="BY207" s="24"/>
      <c r="BZ207" s="24"/>
      <c r="CA207" s="24"/>
      <c r="CB207" s="25"/>
      <c r="CC207" s="82">
        <f t="shared" ref="CC207" si="339">SUM(BX207:CB207)</f>
        <v>0</v>
      </c>
      <c r="CD207" s="198">
        <v>1</v>
      </c>
      <c r="CE207" s="245">
        <f t="shared" ref="CE207" si="340">$F207*CC207*CD207</f>
        <v>0</v>
      </c>
      <c r="CF207" s="379"/>
      <c r="CG207" s="376"/>
      <c r="CH207" s="376"/>
      <c r="CI207" s="376"/>
      <c r="CJ207" s="376"/>
      <c r="CK207" s="376"/>
      <c r="CL207" s="373"/>
      <c r="CM207" s="245">
        <f t="shared" si="320"/>
        <v>0</v>
      </c>
      <c r="CN207" s="39"/>
      <c r="CO207" s="55"/>
      <c r="CP207" s="75">
        <f t="shared" si="313"/>
        <v>64.519574645207527</v>
      </c>
      <c r="CQ207" s="3"/>
      <c r="CR207" s="76">
        <f t="shared" si="314"/>
        <v>75.40350082105023</v>
      </c>
      <c r="CT207" s="76">
        <f t="shared" si="315"/>
        <v>5040</v>
      </c>
    </row>
    <row r="208" spans="1:98" ht="15" customHeight="1" x14ac:dyDescent="0.2">
      <c r="A208" s="392"/>
      <c r="B208" s="417"/>
      <c r="C208" s="234" t="s">
        <v>318</v>
      </c>
      <c r="D208" s="252" t="s">
        <v>89</v>
      </c>
      <c r="E208" s="234" t="s">
        <v>19</v>
      </c>
      <c r="F208" s="301">
        <f>F1*(0.018*(1.014*1.012*1.015)*1.1/1.13)*1.028</f>
        <v>1.9202254358692716E-2</v>
      </c>
      <c r="H208" s="43"/>
      <c r="I208" s="24"/>
      <c r="J208" s="24"/>
      <c r="K208" s="24"/>
      <c r="L208" s="25"/>
      <c r="M208" s="82">
        <f>SUM(H208:L208)</f>
        <v>0</v>
      </c>
      <c r="N208" s="198">
        <v>1</v>
      </c>
      <c r="O208" s="245">
        <f>$F208*M208*N208</f>
        <v>0</v>
      </c>
      <c r="P208" s="379"/>
      <c r="Q208" s="376"/>
      <c r="R208" s="376"/>
      <c r="S208" s="376"/>
      <c r="T208" s="376"/>
      <c r="U208" s="376"/>
      <c r="V208" s="373"/>
      <c r="W208" s="245">
        <f t="shared" si="316"/>
        <v>0</v>
      </c>
      <c r="Y208" s="43"/>
      <c r="Z208" s="24"/>
      <c r="AA208" s="24"/>
      <c r="AB208" s="24"/>
      <c r="AC208" s="25"/>
      <c r="AD208" s="82">
        <f t="shared" si="323"/>
        <v>0</v>
      </c>
      <c r="AE208" s="198">
        <v>1</v>
      </c>
      <c r="AF208" s="245">
        <f t="shared" si="324"/>
        <v>0</v>
      </c>
      <c r="AG208" s="379"/>
      <c r="AH208" s="376"/>
      <c r="AI208" s="376"/>
      <c r="AJ208" s="376"/>
      <c r="AK208" s="376"/>
      <c r="AL208" s="376"/>
      <c r="AM208" s="373"/>
      <c r="AN208" s="245">
        <f t="shared" si="317"/>
        <v>0</v>
      </c>
      <c r="AP208" s="43"/>
      <c r="AQ208" s="24"/>
      <c r="AR208" s="24"/>
      <c r="AS208" s="24"/>
      <c r="AT208" s="25"/>
      <c r="AU208" s="82">
        <f t="shared" si="325"/>
        <v>0</v>
      </c>
      <c r="AV208" s="198">
        <v>1</v>
      </c>
      <c r="AW208" s="245">
        <f t="shared" si="326"/>
        <v>0</v>
      </c>
      <c r="AX208" s="379"/>
      <c r="AY208" s="376"/>
      <c r="AZ208" s="376"/>
      <c r="BA208" s="376"/>
      <c r="BB208" s="376"/>
      <c r="BC208" s="376"/>
      <c r="BD208" s="373"/>
      <c r="BE208" s="245">
        <f t="shared" si="318"/>
        <v>0</v>
      </c>
      <c r="BG208" s="43"/>
      <c r="BH208" s="24"/>
      <c r="BI208" s="24"/>
      <c r="BJ208" s="24"/>
      <c r="BK208" s="25"/>
      <c r="BL208" s="82">
        <f t="shared" si="327"/>
        <v>0</v>
      </c>
      <c r="BM208" s="198">
        <v>1</v>
      </c>
      <c r="BN208" s="245">
        <f t="shared" si="328"/>
        <v>0</v>
      </c>
      <c r="BO208" s="379"/>
      <c r="BP208" s="376"/>
      <c r="BQ208" s="376"/>
      <c r="BR208" s="376"/>
      <c r="BS208" s="376"/>
      <c r="BT208" s="376"/>
      <c r="BU208" s="373"/>
      <c r="BV208" s="245">
        <f t="shared" si="319"/>
        <v>0</v>
      </c>
      <c r="BX208" s="43"/>
      <c r="BY208" s="24"/>
      <c r="BZ208" s="24"/>
      <c r="CA208" s="24"/>
      <c r="CB208" s="25"/>
      <c r="CC208" s="82">
        <f t="shared" si="329"/>
        <v>0</v>
      </c>
      <c r="CD208" s="198">
        <v>1</v>
      </c>
      <c r="CE208" s="245">
        <f t="shared" si="330"/>
        <v>0</v>
      </c>
      <c r="CF208" s="379"/>
      <c r="CG208" s="376"/>
      <c r="CH208" s="376"/>
      <c r="CI208" s="376"/>
      <c r="CJ208" s="376"/>
      <c r="CK208" s="376"/>
      <c r="CL208" s="373"/>
      <c r="CM208" s="245">
        <f t="shared" si="320"/>
        <v>0</v>
      </c>
      <c r="CN208" s="39"/>
      <c r="CO208" s="55"/>
      <c r="CP208" s="75">
        <f t="shared" si="313"/>
        <v>0</v>
      </c>
      <c r="CQ208" s="3"/>
      <c r="CR208" s="76">
        <f t="shared" si="314"/>
        <v>0</v>
      </c>
      <c r="CT208" s="76">
        <f t="shared" si="315"/>
        <v>0</v>
      </c>
    </row>
    <row r="209" spans="1:98" ht="15" customHeight="1" x14ac:dyDescent="0.2">
      <c r="A209" s="392"/>
      <c r="B209" s="394" t="s">
        <v>41</v>
      </c>
      <c r="C209" s="234" t="s">
        <v>319</v>
      </c>
      <c r="D209" s="201" t="s">
        <v>622</v>
      </c>
      <c r="E209" s="202" t="s">
        <v>19</v>
      </c>
      <c r="F209" s="203">
        <v>5.0000000000000001E-3</v>
      </c>
      <c r="H209" s="43"/>
      <c r="I209" s="24"/>
      <c r="J209" s="24"/>
      <c r="K209" s="24"/>
      <c r="L209" s="25"/>
      <c r="M209" s="82">
        <f>SUM(H209:L209)</f>
        <v>0</v>
      </c>
      <c r="N209" s="198">
        <v>1</v>
      </c>
      <c r="O209" s="245">
        <f>$F209*M209*N209</f>
        <v>0</v>
      </c>
      <c r="P209" s="379"/>
      <c r="Q209" s="376"/>
      <c r="R209" s="376"/>
      <c r="S209" s="376"/>
      <c r="T209" s="376"/>
      <c r="U209" s="376"/>
      <c r="V209" s="373"/>
      <c r="W209" s="245">
        <f t="shared" si="316"/>
        <v>0</v>
      </c>
      <c r="Y209" s="43">
        <v>607</v>
      </c>
      <c r="Z209" s="24"/>
      <c r="AA209" s="24"/>
      <c r="AB209" s="24"/>
      <c r="AC209" s="25"/>
      <c r="AD209" s="82">
        <f t="shared" si="323"/>
        <v>607</v>
      </c>
      <c r="AE209" s="198">
        <v>1</v>
      </c>
      <c r="AF209" s="245">
        <f t="shared" si="324"/>
        <v>3.0350000000000001</v>
      </c>
      <c r="AG209" s="379"/>
      <c r="AH209" s="376"/>
      <c r="AI209" s="376"/>
      <c r="AJ209" s="376"/>
      <c r="AK209" s="376"/>
      <c r="AL209" s="376"/>
      <c r="AM209" s="373"/>
      <c r="AN209" s="245">
        <f t="shared" si="317"/>
        <v>3.5469797538240009</v>
      </c>
      <c r="AP209" s="43"/>
      <c r="AQ209" s="24"/>
      <c r="AR209" s="24"/>
      <c r="AS209" s="24"/>
      <c r="AT209" s="25"/>
      <c r="AU209" s="82">
        <f t="shared" si="325"/>
        <v>0</v>
      </c>
      <c r="AV209" s="198">
        <v>1</v>
      </c>
      <c r="AW209" s="245">
        <f t="shared" si="326"/>
        <v>0</v>
      </c>
      <c r="AX209" s="379"/>
      <c r="AY209" s="376"/>
      <c r="AZ209" s="376"/>
      <c r="BA209" s="376"/>
      <c r="BB209" s="376"/>
      <c r="BC209" s="376"/>
      <c r="BD209" s="373"/>
      <c r="BE209" s="245">
        <f t="shared" si="318"/>
        <v>0</v>
      </c>
      <c r="BG209" s="43"/>
      <c r="BH209" s="24"/>
      <c r="BI209" s="24"/>
      <c r="BJ209" s="24"/>
      <c r="BK209" s="25"/>
      <c r="BL209" s="82">
        <f t="shared" si="327"/>
        <v>0</v>
      </c>
      <c r="BM209" s="198">
        <v>1</v>
      </c>
      <c r="BN209" s="245">
        <f t="shared" si="328"/>
        <v>0</v>
      </c>
      <c r="BO209" s="379"/>
      <c r="BP209" s="376"/>
      <c r="BQ209" s="376"/>
      <c r="BR209" s="376"/>
      <c r="BS209" s="376"/>
      <c r="BT209" s="376"/>
      <c r="BU209" s="373"/>
      <c r="BV209" s="245">
        <f t="shared" si="319"/>
        <v>0</v>
      </c>
      <c r="BX209" s="43"/>
      <c r="BY209" s="24"/>
      <c r="BZ209" s="24"/>
      <c r="CA209" s="24"/>
      <c r="CB209" s="25"/>
      <c r="CC209" s="82">
        <f t="shared" si="329"/>
        <v>0</v>
      </c>
      <c r="CD209" s="198">
        <v>1</v>
      </c>
      <c r="CE209" s="245">
        <f t="shared" si="330"/>
        <v>0</v>
      </c>
      <c r="CF209" s="379"/>
      <c r="CG209" s="376"/>
      <c r="CH209" s="376"/>
      <c r="CI209" s="376"/>
      <c r="CJ209" s="376"/>
      <c r="CK209" s="376"/>
      <c r="CL209" s="373"/>
      <c r="CM209" s="245">
        <f t="shared" si="320"/>
        <v>0</v>
      </c>
      <c r="CN209" s="39"/>
      <c r="CO209" s="55"/>
      <c r="CP209" s="75">
        <f t="shared" si="313"/>
        <v>3.0350000000000001</v>
      </c>
      <c r="CQ209" s="3"/>
      <c r="CR209" s="76">
        <f t="shared" si="314"/>
        <v>3.5469797538240009</v>
      </c>
      <c r="CT209" s="76">
        <f t="shared" si="315"/>
        <v>607</v>
      </c>
    </row>
    <row r="210" spans="1:98" ht="15" customHeight="1" x14ac:dyDescent="0.2">
      <c r="A210" s="392"/>
      <c r="B210" s="395"/>
      <c r="C210" s="234" t="s">
        <v>320</v>
      </c>
      <c r="D210" s="201" t="s">
        <v>623</v>
      </c>
      <c r="E210" s="202" t="s">
        <v>59</v>
      </c>
      <c r="F210" s="203">
        <v>8.0000000000000002E-3</v>
      </c>
      <c r="H210" s="43"/>
      <c r="I210" s="24"/>
      <c r="J210" s="24"/>
      <c r="K210" s="24"/>
      <c r="L210" s="25"/>
      <c r="M210" s="82">
        <f>SUM(H210:L210)</f>
        <v>0</v>
      </c>
      <c r="N210" s="198">
        <v>1</v>
      </c>
      <c r="O210" s="245">
        <f>$F210*M210*N210</f>
        <v>0</v>
      </c>
      <c r="P210" s="379"/>
      <c r="Q210" s="376"/>
      <c r="R210" s="376"/>
      <c r="S210" s="376"/>
      <c r="T210" s="376"/>
      <c r="U210" s="376"/>
      <c r="V210" s="373"/>
      <c r="W210" s="245">
        <f t="shared" si="316"/>
        <v>0</v>
      </c>
      <c r="Y210" s="43">
        <v>80</v>
      </c>
      <c r="Z210" s="24"/>
      <c r="AA210" s="24"/>
      <c r="AB210" s="24"/>
      <c r="AC210" s="25"/>
      <c r="AD210" s="82">
        <f t="shared" si="323"/>
        <v>80</v>
      </c>
      <c r="AE210" s="198">
        <v>1</v>
      </c>
      <c r="AF210" s="245">
        <f t="shared" si="324"/>
        <v>0.64</v>
      </c>
      <c r="AG210" s="379"/>
      <c r="AH210" s="376"/>
      <c r="AI210" s="376"/>
      <c r="AJ210" s="376"/>
      <c r="AK210" s="376"/>
      <c r="AL210" s="376"/>
      <c r="AM210" s="373"/>
      <c r="AN210" s="245">
        <f t="shared" si="317"/>
        <v>0.74796278169600017</v>
      </c>
      <c r="AP210" s="43"/>
      <c r="AQ210" s="24"/>
      <c r="AR210" s="24"/>
      <c r="AS210" s="24"/>
      <c r="AT210" s="25"/>
      <c r="AU210" s="82">
        <f t="shared" si="325"/>
        <v>0</v>
      </c>
      <c r="AV210" s="198">
        <v>1</v>
      </c>
      <c r="AW210" s="245">
        <f t="shared" si="326"/>
        <v>0</v>
      </c>
      <c r="AX210" s="379"/>
      <c r="AY210" s="376"/>
      <c r="AZ210" s="376"/>
      <c r="BA210" s="376"/>
      <c r="BB210" s="376"/>
      <c r="BC210" s="376"/>
      <c r="BD210" s="373"/>
      <c r="BE210" s="245">
        <f t="shared" si="318"/>
        <v>0</v>
      </c>
      <c r="BG210" s="43"/>
      <c r="BH210" s="24"/>
      <c r="BI210" s="24"/>
      <c r="BJ210" s="24"/>
      <c r="BK210" s="25"/>
      <c r="BL210" s="82">
        <f t="shared" si="327"/>
        <v>0</v>
      </c>
      <c r="BM210" s="198">
        <v>1</v>
      </c>
      <c r="BN210" s="245">
        <f t="shared" si="328"/>
        <v>0</v>
      </c>
      <c r="BO210" s="379"/>
      <c r="BP210" s="376"/>
      <c r="BQ210" s="376"/>
      <c r="BR210" s="376"/>
      <c r="BS210" s="376"/>
      <c r="BT210" s="376"/>
      <c r="BU210" s="373"/>
      <c r="BV210" s="245">
        <f t="shared" si="319"/>
        <v>0</v>
      </c>
      <c r="BX210" s="43"/>
      <c r="BY210" s="24"/>
      <c r="BZ210" s="24"/>
      <c r="CA210" s="24"/>
      <c r="CB210" s="25"/>
      <c r="CC210" s="82">
        <f t="shared" si="329"/>
        <v>0</v>
      </c>
      <c r="CD210" s="198">
        <v>1</v>
      </c>
      <c r="CE210" s="245">
        <f t="shared" si="330"/>
        <v>0</v>
      </c>
      <c r="CF210" s="379"/>
      <c r="CG210" s="376"/>
      <c r="CH210" s="376"/>
      <c r="CI210" s="376"/>
      <c r="CJ210" s="376"/>
      <c r="CK210" s="376"/>
      <c r="CL210" s="373"/>
      <c r="CM210" s="245">
        <f t="shared" si="320"/>
        <v>0</v>
      </c>
      <c r="CN210" s="39"/>
      <c r="CO210" s="55"/>
      <c r="CP210" s="75">
        <f t="shared" si="313"/>
        <v>0.64</v>
      </c>
      <c r="CQ210" s="3"/>
      <c r="CR210" s="76">
        <f t="shared" si="314"/>
        <v>0.74796278169600017</v>
      </c>
      <c r="CT210" s="76">
        <f t="shared" si="315"/>
        <v>80</v>
      </c>
    </row>
    <row r="211" spans="1:98" ht="15" customHeight="1" x14ac:dyDescent="0.2">
      <c r="A211" s="392"/>
      <c r="B211" s="395"/>
      <c r="C211" s="234" t="s">
        <v>321</v>
      </c>
      <c r="D211" s="201" t="s">
        <v>624</v>
      </c>
      <c r="E211" s="202" t="s">
        <v>625</v>
      </c>
      <c r="F211" s="203">
        <v>0.6</v>
      </c>
      <c r="H211" s="43"/>
      <c r="I211" s="24"/>
      <c r="J211" s="24"/>
      <c r="K211" s="24"/>
      <c r="L211" s="25"/>
      <c r="M211" s="82">
        <f>SUM(H211:L211)</f>
        <v>0</v>
      </c>
      <c r="N211" s="198">
        <v>1</v>
      </c>
      <c r="O211" s="245">
        <f>$F211*M211*N211</f>
        <v>0</v>
      </c>
      <c r="P211" s="379"/>
      <c r="Q211" s="376"/>
      <c r="R211" s="376"/>
      <c r="S211" s="376"/>
      <c r="T211" s="376"/>
      <c r="U211" s="376"/>
      <c r="V211" s="373"/>
      <c r="W211" s="245">
        <f t="shared" si="316"/>
        <v>0</v>
      </c>
      <c r="Y211" s="43">
        <v>1</v>
      </c>
      <c r="Z211" s="24"/>
      <c r="AA211" s="24"/>
      <c r="AB211" s="24"/>
      <c r="AC211" s="25"/>
      <c r="AD211" s="82">
        <f t="shared" si="323"/>
        <v>1</v>
      </c>
      <c r="AE211" s="198">
        <v>1</v>
      </c>
      <c r="AF211" s="245">
        <f t="shared" si="324"/>
        <v>0.6</v>
      </c>
      <c r="AG211" s="379"/>
      <c r="AH211" s="376"/>
      <c r="AI211" s="376"/>
      <c r="AJ211" s="376"/>
      <c r="AK211" s="376"/>
      <c r="AL211" s="376"/>
      <c r="AM211" s="373"/>
      <c r="AN211" s="245">
        <f t="shared" si="317"/>
        <v>0.70121510784000007</v>
      </c>
      <c r="AP211" s="43"/>
      <c r="AQ211" s="24"/>
      <c r="AR211" s="24"/>
      <c r="AS211" s="24"/>
      <c r="AT211" s="25"/>
      <c r="AU211" s="82">
        <f t="shared" si="325"/>
        <v>0</v>
      </c>
      <c r="AV211" s="198">
        <v>1</v>
      </c>
      <c r="AW211" s="245">
        <f t="shared" si="326"/>
        <v>0</v>
      </c>
      <c r="AX211" s="379"/>
      <c r="AY211" s="376"/>
      <c r="AZ211" s="376"/>
      <c r="BA211" s="376"/>
      <c r="BB211" s="376"/>
      <c r="BC211" s="376"/>
      <c r="BD211" s="373"/>
      <c r="BE211" s="245">
        <f t="shared" si="318"/>
        <v>0</v>
      </c>
      <c r="BG211" s="43"/>
      <c r="BH211" s="24"/>
      <c r="BI211" s="24"/>
      <c r="BJ211" s="24"/>
      <c r="BK211" s="25"/>
      <c r="BL211" s="82">
        <f t="shared" si="327"/>
        <v>0</v>
      </c>
      <c r="BM211" s="198">
        <v>1</v>
      </c>
      <c r="BN211" s="245">
        <f t="shared" si="328"/>
        <v>0</v>
      </c>
      <c r="BO211" s="379"/>
      <c r="BP211" s="376"/>
      <c r="BQ211" s="376"/>
      <c r="BR211" s="376"/>
      <c r="BS211" s="376"/>
      <c r="BT211" s="376"/>
      <c r="BU211" s="373"/>
      <c r="BV211" s="245">
        <f t="shared" si="319"/>
        <v>0</v>
      </c>
      <c r="BX211" s="43"/>
      <c r="BY211" s="24"/>
      <c r="BZ211" s="24"/>
      <c r="CA211" s="24"/>
      <c r="CB211" s="25"/>
      <c r="CC211" s="82">
        <f t="shared" si="329"/>
        <v>0</v>
      </c>
      <c r="CD211" s="198">
        <v>1</v>
      </c>
      <c r="CE211" s="245">
        <f t="shared" si="330"/>
        <v>0</v>
      </c>
      <c r="CF211" s="379"/>
      <c r="CG211" s="376"/>
      <c r="CH211" s="376"/>
      <c r="CI211" s="376"/>
      <c r="CJ211" s="376"/>
      <c r="CK211" s="376"/>
      <c r="CL211" s="373"/>
      <c r="CM211" s="245">
        <f t="shared" si="320"/>
        <v>0</v>
      </c>
      <c r="CN211" s="39"/>
      <c r="CO211" s="55"/>
      <c r="CP211" s="75">
        <f t="shared" si="313"/>
        <v>0.6</v>
      </c>
      <c r="CQ211" s="3"/>
      <c r="CR211" s="76">
        <f t="shared" si="314"/>
        <v>0.70121510784000007</v>
      </c>
      <c r="CT211" s="76">
        <f t="shared" si="315"/>
        <v>1</v>
      </c>
    </row>
    <row r="212" spans="1:98" ht="15" customHeight="1" x14ac:dyDescent="0.2">
      <c r="A212" s="392"/>
      <c r="B212" s="395"/>
      <c r="C212" s="234" t="s">
        <v>322</v>
      </c>
      <c r="D212" s="204" t="s">
        <v>215</v>
      </c>
      <c r="E212" s="205" t="s">
        <v>10</v>
      </c>
      <c r="F212" s="323"/>
      <c r="H212" s="43"/>
      <c r="I212" s="24"/>
      <c r="J212" s="24"/>
      <c r="K212" s="24"/>
      <c r="L212" s="25"/>
      <c r="M212" s="82"/>
      <c r="N212" s="246"/>
      <c r="O212" s="245">
        <f>SUM(H212:L212)</f>
        <v>0</v>
      </c>
      <c r="P212" s="379"/>
      <c r="Q212" s="376"/>
      <c r="R212" s="376"/>
      <c r="S212" s="376"/>
      <c r="T212" s="376"/>
      <c r="U212" s="376"/>
      <c r="V212" s="373"/>
      <c r="W212" s="245">
        <f t="shared" si="316"/>
        <v>0</v>
      </c>
      <c r="Y212" s="43"/>
      <c r="Z212" s="24"/>
      <c r="AA212" s="24"/>
      <c r="AB212" s="24"/>
      <c r="AC212" s="25"/>
      <c r="AD212" s="82"/>
      <c r="AE212" s="246"/>
      <c r="AF212" s="245">
        <f>SUM(Y212:AC212)</f>
        <v>0</v>
      </c>
      <c r="AG212" s="379"/>
      <c r="AH212" s="376"/>
      <c r="AI212" s="376"/>
      <c r="AJ212" s="376"/>
      <c r="AK212" s="376"/>
      <c r="AL212" s="376"/>
      <c r="AM212" s="373"/>
      <c r="AN212" s="245">
        <f t="shared" si="317"/>
        <v>0</v>
      </c>
      <c r="AP212" s="43"/>
      <c r="AQ212" s="24"/>
      <c r="AR212" s="24"/>
      <c r="AS212" s="24"/>
      <c r="AT212" s="25"/>
      <c r="AU212" s="82"/>
      <c r="AV212" s="246"/>
      <c r="AW212" s="245">
        <f>SUM(AP212:AT212)</f>
        <v>0</v>
      </c>
      <c r="AX212" s="379"/>
      <c r="AY212" s="376"/>
      <c r="AZ212" s="376"/>
      <c r="BA212" s="376"/>
      <c r="BB212" s="376"/>
      <c r="BC212" s="376"/>
      <c r="BD212" s="373"/>
      <c r="BE212" s="245">
        <f t="shared" si="318"/>
        <v>0</v>
      </c>
      <c r="BG212" s="43"/>
      <c r="BH212" s="24"/>
      <c r="BI212" s="24"/>
      <c r="BJ212" s="24"/>
      <c r="BK212" s="25"/>
      <c r="BL212" s="82"/>
      <c r="BM212" s="246"/>
      <c r="BN212" s="245">
        <f>SUM(BG212:BK212)</f>
        <v>0</v>
      </c>
      <c r="BO212" s="379"/>
      <c r="BP212" s="376"/>
      <c r="BQ212" s="376"/>
      <c r="BR212" s="376"/>
      <c r="BS212" s="376"/>
      <c r="BT212" s="376"/>
      <c r="BU212" s="373"/>
      <c r="BV212" s="245">
        <f t="shared" si="319"/>
        <v>0</v>
      </c>
      <c r="BX212" s="43"/>
      <c r="BY212" s="24"/>
      <c r="BZ212" s="24"/>
      <c r="CA212" s="24"/>
      <c r="CB212" s="25"/>
      <c r="CC212" s="82"/>
      <c r="CD212" s="246"/>
      <c r="CE212" s="245">
        <f>SUM(BX212:CB212)</f>
        <v>0</v>
      </c>
      <c r="CF212" s="379"/>
      <c r="CG212" s="376"/>
      <c r="CH212" s="376"/>
      <c r="CI212" s="376"/>
      <c r="CJ212" s="376"/>
      <c r="CK212" s="376"/>
      <c r="CL212" s="373"/>
      <c r="CM212" s="245">
        <f t="shared" si="320"/>
        <v>0</v>
      </c>
      <c r="CN212" s="39"/>
      <c r="CO212" s="55"/>
      <c r="CP212" s="75">
        <f t="shared" si="313"/>
        <v>0</v>
      </c>
      <c r="CQ212" s="3"/>
      <c r="CR212" s="76">
        <f t="shared" si="314"/>
        <v>0</v>
      </c>
      <c r="CT212" s="76">
        <f t="shared" si="315"/>
        <v>0</v>
      </c>
    </row>
    <row r="213" spans="1:98" ht="15" customHeight="1" x14ac:dyDescent="0.2">
      <c r="A213" s="392"/>
      <c r="B213" s="395"/>
      <c r="C213" s="234" t="s">
        <v>323</v>
      </c>
      <c r="D213" s="208" t="s">
        <v>215</v>
      </c>
      <c r="E213" s="205" t="s">
        <v>10</v>
      </c>
      <c r="F213" s="323"/>
      <c r="H213" s="43"/>
      <c r="I213" s="24"/>
      <c r="J213" s="24"/>
      <c r="K213" s="24"/>
      <c r="L213" s="25"/>
      <c r="M213" s="82"/>
      <c r="N213" s="246"/>
      <c r="O213" s="245">
        <f>SUM(H213:L213)</f>
        <v>0</v>
      </c>
      <c r="P213" s="380"/>
      <c r="Q213" s="377"/>
      <c r="R213" s="377"/>
      <c r="S213" s="377"/>
      <c r="T213" s="377"/>
      <c r="U213" s="377"/>
      <c r="V213" s="374"/>
      <c r="W213" s="245">
        <f t="shared" si="316"/>
        <v>0</v>
      </c>
      <c r="Y213" s="43"/>
      <c r="Z213" s="24"/>
      <c r="AA213" s="24"/>
      <c r="AB213" s="24"/>
      <c r="AC213" s="25"/>
      <c r="AD213" s="82"/>
      <c r="AE213" s="246"/>
      <c r="AF213" s="245">
        <f>SUM(Y213:AC213)</f>
        <v>0</v>
      </c>
      <c r="AG213" s="380"/>
      <c r="AH213" s="377"/>
      <c r="AI213" s="377"/>
      <c r="AJ213" s="377"/>
      <c r="AK213" s="377"/>
      <c r="AL213" s="377"/>
      <c r="AM213" s="374"/>
      <c r="AN213" s="245">
        <f t="shared" si="317"/>
        <v>0</v>
      </c>
      <c r="AP213" s="43"/>
      <c r="AQ213" s="24"/>
      <c r="AR213" s="24"/>
      <c r="AS213" s="24"/>
      <c r="AT213" s="25"/>
      <c r="AU213" s="82"/>
      <c r="AV213" s="246"/>
      <c r="AW213" s="245">
        <f>SUM(AP213:AT213)</f>
        <v>0</v>
      </c>
      <c r="AX213" s="380"/>
      <c r="AY213" s="377"/>
      <c r="AZ213" s="377"/>
      <c r="BA213" s="377"/>
      <c r="BB213" s="377"/>
      <c r="BC213" s="377"/>
      <c r="BD213" s="374"/>
      <c r="BE213" s="245">
        <f t="shared" si="318"/>
        <v>0</v>
      </c>
      <c r="BG213" s="43"/>
      <c r="BH213" s="24"/>
      <c r="BI213" s="24"/>
      <c r="BJ213" s="24"/>
      <c r="BK213" s="25"/>
      <c r="BL213" s="82"/>
      <c r="BM213" s="246"/>
      <c r="BN213" s="245">
        <f>SUM(BG213:BK213)</f>
        <v>0</v>
      </c>
      <c r="BO213" s="380"/>
      <c r="BP213" s="377"/>
      <c r="BQ213" s="377"/>
      <c r="BR213" s="377"/>
      <c r="BS213" s="377"/>
      <c r="BT213" s="377"/>
      <c r="BU213" s="374"/>
      <c r="BV213" s="245">
        <f t="shared" si="319"/>
        <v>0</v>
      </c>
      <c r="BX213" s="43"/>
      <c r="BY213" s="24"/>
      <c r="BZ213" s="24"/>
      <c r="CA213" s="24"/>
      <c r="CB213" s="25"/>
      <c r="CC213" s="82"/>
      <c r="CD213" s="246"/>
      <c r="CE213" s="245">
        <f>SUM(BX213:CB213)</f>
        <v>0</v>
      </c>
      <c r="CF213" s="380"/>
      <c r="CG213" s="377"/>
      <c r="CH213" s="377"/>
      <c r="CI213" s="377"/>
      <c r="CJ213" s="377"/>
      <c r="CK213" s="377"/>
      <c r="CL213" s="374"/>
      <c r="CM213" s="245">
        <f t="shared" si="320"/>
        <v>0</v>
      </c>
      <c r="CN213" s="39"/>
      <c r="CO213" s="3"/>
      <c r="CP213" s="75">
        <f t="shared" si="313"/>
        <v>0</v>
      </c>
      <c r="CQ213" s="3"/>
      <c r="CR213" s="76">
        <f t="shared" si="314"/>
        <v>0</v>
      </c>
      <c r="CT213" s="76">
        <f t="shared" si="315"/>
        <v>0</v>
      </c>
    </row>
    <row r="214" spans="1:98" ht="15" customHeight="1" thickBot="1" x14ac:dyDescent="0.25">
      <c r="A214" s="393"/>
      <c r="B214" s="223"/>
      <c r="C214" s="224"/>
      <c r="D214" s="225" t="s">
        <v>22</v>
      </c>
      <c r="E214" s="224"/>
      <c r="F214" s="325"/>
      <c r="H214" s="141"/>
      <c r="I214" s="142"/>
      <c r="J214" s="142"/>
      <c r="K214" s="142"/>
      <c r="L214" s="142"/>
      <c r="M214" s="227"/>
      <c r="N214" s="228"/>
      <c r="O214" s="229">
        <f>SUM(O200:O213)</f>
        <v>0</v>
      </c>
      <c r="P214" s="230"/>
      <c r="Q214" s="230"/>
      <c r="R214" s="230"/>
      <c r="S214" s="230"/>
      <c r="T214" s="230"/>
      <c r="U214" s="230"/>
      <c r="V214" s="228"/>
      <c r="W214" s="229">
        <f>SUM(W200:W213)</f>
        <v>0</v>
      </c>
      <c r="Y214" s="141"/>
      <c r="Z214" s="142"/>
      <c r="AA214" s="142"/>
      <c r="AB214" s="142"/>
      <c r="AC214" s="142"/>
      <c r="AD214" s="227"/>
      <c r="AE214" s="228"/>
      <c r="AF214" s="229">
        <f>SUM(AF200:AF213)</f>
        <v>74.768609334578585</v>
      </c>
      <c r="AG214" s="230"/>
      <c r="AH214" s="230"/>
      <c r="AI214" s="230"/>
      <c r="AJ214" s="230"/>
      <c r="AK214" s="230"/>
      <c r="AL214" s="230"/>
      <c r="AM214" s="228"/>
      <c r="AN214" s="229">
        <f>SUM(AN200:AN213)</f>
        <v>87.38146409598896</v>
      </c>
      <c r="AP214" s="141"/>
      <c r="AQ214" s="142"/>
      <c r="AR214" s="142"/>
      <c r="AS214" s="142"/>
      <c r="AT214" s="142"/>
      <c r="AU214" s="227"/>
      <c r="AV214" s="228"/>
      <c r="AW214" s="229">
        <f>SUM(AW200:AW213)</f>
        <v>0</v>
      </c>
      <c r="AX214" s="230"/>
      <c r="AY214" s="230"/>
      <c r="AZ214" s="230"/>
      <c r="BA214" s="230"/>
      <c r="BB214" s="230"/>
      <c r="BC214" s="230"/>
      <c r="BD214" s="228"/>
      <c r="BE214" s="229">
        <f>SUM(BE200:BE213)</f>
        <v>0</v>
      </c>
      <c r="BG214" s="141"/>
      <c r="BH214" s="142"/>
      <c r="BI214" s="142"/>
      <c r="BJ214" s="142"/>
      <c r="BK214" s="142"/>
      <c r="BL214" s="227"/>
      <c r="BM214" s="228"/>
      <c r="BN214" s="229">
        <f>SUM(BN200:BN213)</f>
        <v>0</v>
      </c>
      <c r="BO214" s="230"/>
      <c r="BP214" s="230"/>
      <c r="BQ214" s="230"/>
      <c r="BR214" s="230"/>
      <c r="BS214" s="230"/>
      <c r="BT214" s="230"/>
      <c r="BU214" s="228"/>
      <c r="BV214" s="229">
        <f>SUM(BV200:BV213)</f>
        <v>0</v>
      </c>
      <c r="BX214" s="141"/>
      <c r="BY214" s="142"/>
      <c r="BZ214" s="142"/>
      <c r="CA214" s="142"/>
      <c r="CB214" s="142"/>
      <c r="CC214" s="227"/>
      <c r="CD214" s="228"/>
      <c r="CE214" s="229">
        <f>SUM(CE200:CE213)</f>
        <v>0</v>
      </c>
      <c r="CF214" s="230"/>
      <c r="CG214" s="230"/>
      <c r="CH214" s="230"/>
      <c r="CI214" s="230"/>
      <c r="CJ214" s="230"/>
      <c r="CK214" s="230"/>
      <c r="CL214" s="228"/>
      <c r="CM214" s="229">
        <f>SUM(CM200:CM213)</f>
        <v>0</v>
      </c>
      <c r="CN214" s="39"/>
      <c r="CO214" s="3"/>
      <c r="CP214" s="217">
        <f>SUM(CP200:CP213)</f>
        <v>74.768609334578585</v>
      </c>
      <c r="CQ214" s="3"/>
      <c r="CR214" s="217">
        <f>SUM(CR200:CR213)</f>
        <v>87.38146409598896</v>
      </c>
      <c r="CT214" s="217"/>
    </row>
    <row r="215" spans="1:98" ht="15" customHeight="1" x14ac:dyDescent="0.2">
      <c r="A215" s="388" t="s">
        <v>529</v>
      </c>
      <c r="B215" s="420" t="s">
        <v>243</v>
      </c>
      <c r="C215" s="236" t="s">
        <v>332</v>
      </c>
      <c r="D215" s="257" t="s">
        <v>545</v>
      </c>
      <c r="E215" s="236" t="s">
        <v>96</v>
      </c>
      <c r="F215" s="304">
        <f>F1*(8.75*(1.014*1.012*1.015)*1.1/1.17)*1.028</f>
        <v>9.0153034174536657</v>
      </c>
      <c r="H215" s="41"/>
      <c r="I215" s="46"/>
      <c r="J215" s="46"/>
      <c r="K215" s="46"/>
      <c r="L215" s="47"/>
      <c r="M215" s="92">
        <f>SUM(H215:L215)</f>
        <v>0</v>
      </c>
      <c r="N215" s="193">
        <v>1</v>
      </c>
      <c r="O215" s="238">
        <f t="shared" ref="O215:O221" si="341">$F215*M215*N215</f>
        <v>0</v>
      </c>
      <c r="P215" s="378">
        <f>VLOOKUP(P5,'Databaze rizik'!$K$2:$Z$6,15,FALSE)/100+1</f>
        <v>1.1000000000000001</v>
      </c>
      <c r="Q215" s="375">
        <f>VLOOKUP(Q5,'Databaze rizik'!$K$21:$Z$25,15,FALSE)/100+1</f>
        <v>1.1299999999999999</v>
      </c>
      <c r="R215" s="375">
        <f>VLOOKUP(R5,'Databaze rizik'!$K$41:$Z$45,15,FALSE)/100+1</f>
        <v>1</v>
      </c>
      <c r="S215" s="375">
        <f>VLOOKUP(S5,'Databaze rizik'!$K$61:$Z$66,15,FALSE)/100+1</f>
        <v>1.02</v>
      </c>
      <c r="T215" s="375">
        <f>VLOOKUP(T5,'Databaze rizik'!$K$81:$Z$85,15,FALSE)/100+1</f>
        <v>1.04</v>
      </c>
      <c r="U215" s="375">
        <f>VLOOKUP(U5,'Databaze rizik'!$K$101:$Z$105,15,FALSE)/100+1</f>
        <v>1.01</v>
      </c>
      <c r="V215" s="372">
        <f t="shared" ref="V215" si="342">P215*Q215*R215*S215*T215*U215</f>
        <v>1.331760144</v>
      </c>
      <c r="W215" s="238">
        <f>O215*V$215</f>
        <v>0</v>
      </c>
      <c r="Y215" s="41">
        <v>17.5</v>
      </c>
      <c r="Z215" s="46"/>
      <c r="AA215" s="46"/>
      <c r="AB215" s="46"/>
      <c r="AC215" s="47"/>
      <c r="AD215" s="92">
        <f>SUM(Y215:AC215)</f>
        <v>17.5</v>
      </c>
      <c r="AE215" s="193">
        <v>1</v>
      </c>
      <c r="AF215" s="238">
        <f t="shared" ref="AF215:AF221" si="343">$F215*AD215*AE215</f>
        <v>157.76780980543916</v>
      </c>
      <c r="AG215" s="378">
        <f>VLOOKUP(AG5,'Databaze rizik'!$K$2:$Z$6,15,FALSE)/100+1</f>
        <v>1.1000000000000001</v>
      </c>
      <c r="AH215" s="375">
        <f>VLOOKUP(AH5,'Databaze rizik'!$K$21:$Z$25,15,FALSE)/100+1</f>
        <v>1.1299999999999999</v>
      </c>
      <c r="AI215" s="375">
        <f>VLOOKUP(AI5,'Databaze rizik'!$K$41:$Z$45,15,FALSE)/100+1</f>
        <v>1</v>
      </c>
      <c r="AJ215" s="375">
        <f>VLOOKUP(AJ5,'Databaze rizik'!$K$61:$Z$66,15,FALSE)/100+1</f>
        <v>1.02</v>
      </c>
      <c r="AK215" s="375">
        <f>VLOOKUP(AK5,'Databaze rizik'!$K$81:$Z$85,15,FALSE)/100+1</f>
        <v>1.04</v>
      </c>
      <c r="AL215" s="375">
        <f>VLOOKUP(AL5,'Databaze rizik'!$K$101:$Z$105,15,FALSE)/100+1</f>
        <v>1.01</v>
      </c>
      <c r="AM215" s="372">
        <f t="shared" ref="AM215" si="344">AG215*AH215*AI215*AJ215*AK215*AL215</f>
        <v>1.331760144</v>
      </c>
      <c r="AN215" s="238">
        <f>AF215*AM$215</f>
        <v>210.10888110505627</v>
      </c>
      <c r="AP215" s="41"/>
      <c r="AQ215" s="46"/>
      <c r="AR215" s="46"/>
      <c r="AS215" s="46"/>
      <c r="AT215" s="47"/>
      <c r="AU215" s="92">
        <f>SUM(AP215:AT215)</f>
        <v>0</v>
      </c>
      <c r="AV215" s="193">
        <v>1</v>
      </c>
      <c r="AW215" s="238">
        <f t="shared" ref="AW215:AW221" si="345">$F215*AU215*AV215</f>
        <v>0</v>
      </c>
      <c r="AX215" s="378">
        <f>VLOOKUP(AX5,'Databaze rizik'!$K$2:$Z$6,15,FALSE)/100+1</f>
        <v>1.1000000000000001</v>
      </c>
      <c r="AY215" s="375">
        <f>VLOOKUP(AY5,'Databaze rizik'!$K$21:$Z$25,15,FALSE)/100+1</f>
        <v>1.1299999999999999</v>
      </c>
      <c r="AZ215" s="375">
        <f>VLOOKUP(AZ5,'Databaze rizik'!$K$41:$Z$45,15,FALSE)/100+1</f>
        <v>1</v>
      </c>
      <c r="BA215" s="375">
        <f>VLOOKUP(BA5,'Databaze rizik'!$K$61:$Z$66,15,FALSE)/100+1</f>
        <v>1.02</v>
      </c>
      <c r="BB215" s="375">
        <f>VLOOKUP(BB5,'Databaze rizik'!$K$81:$Z$85,15,FALSE)/100+1</f>
        <v>1.04</v>
      </c>
      <c r="BC215" s="375">
        <f>VLOOKUP(BC5,'Databaze rizik'!$K$101:$Z$105,15,FALSE)/100+1</f>
        <v>1.01</v>
      </c>
      <c r="BD215" s="372">
        <f t="shared" ref="BD215" si="346">AX215*AY215*AZ215*BA215*BB215*BC215</f>
        <v>1.331760144</v>
      </c>
      <c r="BE215" s="238">
        <f>AW215*BD$215</f>
        <v>0</v>
      </c>
      <c r="BG215" s="41"/>
      <c r="BH215" s="46"/>
      <c r="BI215" s="46"/>
      <c r="BJ215" s="46"/>
      <c r="BK215" s="47"/>
      <c r="BL215" s="92">
        <f>SUM(BG215:BK215)</f>
        <v>0</v>
      </c>
      <c r="BM215" s="193">
        <v>1</v>
      </c>
      <c r="BN215" s="238">
        <f t="shared" ref="BN215:BN221" si="347">$F215*BL215*BM215</f>
        <v>0</v>
      </c>
      <c r="BO215" s="378">
        <f>VLOOKUP(BO5,'Databaze rizik'!$K$2:$Z$6,15,FALSE)/100+1</f>
        <v>1</v>
      </c>
      <c r="BP215" s="375">
        <f>VLOOKUP(BP5,'Databaze rizik'!$K$21:$Z$25,15,FALSE)/100+1</f>
        <v>1</v>
      </c>
      <c r="BQ215" s="375">
        <f>VLOOKUP(BQ5,'Databaze rizik'!$K$41:$Z$45,15,FALSE)/100+1</f>
        <v>1</v>
      </c>
      <c r="BR215" s="375">
        <f>VLOOKUP(BR5,'Databaze rizik'!$K$61:$Z$66,15,FALSE)/100+1</f>
        <v>1.02</v>
      </c>
      <c r="BS215" s="375">
        <f>VLOOKUP(BS5,'Databaze rizik'!$K$81:$Z$85,15,FALSE)/100+1</f>
        <v>1.04</v>
      </c>
      <c r="BT215" s="375">
        <f>VLOOKUP(BT5,'Databaze rizik'!$K$101:$Z$105,15,FALSE)/100+1</f>
        <v>1.01</v>
      </c>
      <c r="BU215" s="372">
        <f t="shared" ref="BU215" si="348">BO215*BP215*BQ215*BR215*BS215*BT215</f>
        <v>1.0714079999999999</v>
      </c>
      <c r="BV215" s="238">
        <f>BN215*BU$215</f>
        <v>0</v>
      </c>
      <c r="BX215" s="41"/>
      <c r="BY215" s="46"/>
      <c r="BZ215" s="46"/>
      <c r="CA215" s="46"/>
      <c r="CB215" s="47"/>
      <c r="CC215" s="92">
        <f>SUM(BX215:CB215)</f>
        <v>0</v>
      </c>
      <c r="CD215" s="193">
        <v>1</v>
      </c>
      <c r="CE215" s="238">
        <f t="shared" ref="CE215:CE221" si="349">$F215*CC215*CD215</f>
        <v>0</v>
      </c>
      <c r="CF215" s="378">
        <f>VLOOKUP(CF5,'Databaze rizik'!$K$2:$Z$6,15,FALSE)/100+1</f>
        <v>1</v>
      </c>
      <c r="CG215" s="375">
        <f>VLOOKUP(CG5,'Databaze rizik'!$K$21:$Z$25,15,FALSE)/100+1</f>
        <v>1</v>
      </c>
      <c r="CH215" s="375">
        <f>VLOOKUP(CH5,'Databaze rizik'!$K$41:$Z$45,15,FALSE)/100+1</f>
        <v>1</v>
      </c>
      <c r="CI215" s="375">
        <f>VLOOKUP(CI5,'Databaze rizik'!$K$61:$Z$66,15,FALSE)/100+1</f>
        <v>1.02</v>
      </c>
      <c r="CJ215" s="375">
        <f>VLOOKUP(CJ5,'Databaze rizik'!$K$81:$Z$85,15,FALSE)/100+1</f>
        <v>1.04</v>
      </c>
      <c r="CK215" s="375">
        <f>VLOOKUP(CK5,'Databaze rizik'!$K$101:$Z$105,15,FALSE)/100+1</f>
        <v>1.01</v>
      </c>
      <c r="CL215" s="372">
        <f t="shared" ref="CL215" si="350">CF215*CG215*CH215*CI215*CJ215*CK215</f>
        <v>1.0714079999999999</v>
      </c>
      <c r="CM215" s="238">
        <f>CE215*CL$215</f>
        <v>0</v>
      </c>
      <c r="CN215" s="39"/>
      <c r="CO215" s="55"/>
      <c r="CP215" s="77">
        <f t="shared" ref="CP215:CP223" si="351">SUMIF(H$1:CM$1,1,H215:CM215)</f>
        <v>157.76780980543916</v>
      </c>
      <c r="CQ215" s="3"/>
      <c r="CR215" s="77">
        <f t="shared" ref="CR215:CR223" si="352">SUMIF(H$1:CM$1,2,H215:CM215)</f>
        <v>210.10888110505627</v>
      </c>
      <c r="CT215" s="77">
        <f t="shared" si="315"/>
        <v>17.5</v>
      </c>
    </row>
    <row r="216" spans="1:98" ht="15" customHeight="1" x14ac:dyDescent="0.2">
      <c r="A216" s="389"/>
      <c r="B216" s="399"/>
      <c r="C216" s="239" t="s">
        <v>333</v>
      </c>
      <c r="D216" s="258" t="s">
        <v>546</v>
      </c>
      <c r="E216" s="234" t="s">
        <v>96</v>
      </c>
      <c r="F216" s="300">
        <f>F1*(8*(1.014*1.012*1.015)*1.1/1.17)*1.028</f>
        <v>8.2425631245290649</v>
      </c>
      <c r="H216" s="41"/>
      <c r="I216" s="46"/>
      <c r="J216" s="46"/>
      <c r="K216" s="46"/>
      <c r="L216" s="47"/>
      <c r="M216" s="82">
        <f t="shared" ref="M216:M217" si="353">SUM(H216:L216)</f>
        <v>0</v>
      </c>
      <c r="N216" s="198">
        <v>1</v>
      </c>
      <c r="O216" s="245">
        <f t="shared" ref="O216:O217" si="354">$F216*M216*N216</f>
        <v>0</v>
      </c>
      <c r="P216" s="379"/>
      <c r="Q216" s="376"/>
      <c r="R216" s="376"/>
      <c r="S216" s="376"/>
      <c r="T216" s="376"/>
      <c r="U216" s="376"/>
      <c r="V216" s="373"/>
      <c r="W216" s="245">
        <f t="shared" ref="W216:W223" si="355">O216*V$215</f>
        <v>0</v>
      </c>
      <c r="Y216" s="41"/>
      <c r="Z216" s="46"/>
      <c r="AA216" s="46"/>
      <c r="AB216" s="46"/>
      <c r="AC216" s="47"/>
      <c r="AD216" s="82">
        <f t="shared" ref="AD216" si="356">SUM(Y216:AC216)</f>
        <v>0</v>
      </c>
      <c r="AE216" s="198">
        <v>1</v>
      </c>
      <c r="AF216" s="245">
        <f t="shared" ref="AF216" si="357">$F216*AD216*AE216</f>
        <v>0</v>
      </c>
      <c r="AG216" s="379"/>
      <c r="AH216" s="376"/>
      <c r="AI216" s="376"/>
      <c r="AJ216" s="376"/>
      <c r="AK216" s="376"/>
      <c r="AL216" s="376"/>
      <c r="AM216" s="373"/>
      <c r="AN216" s="245">
        <f t="shared" ref="AN216:AN223" si="358">AF216*AM$215</f>
        <v>0</v>
      </c>
      <c r="AP216" s="41"/>
      <c r="AQ216" s="24"/>
      <c r="AR216" s="24"/>
      <c r="AS216" s="24"/>
      <c r="AT216" s="25"/>
      <c r="AU216" s="82">
        <f t="shared" ref="AU216" si="359">SUM(AP216:AT216)</f>
        <v>0</v>
      </c>
      <c r="AV216" s="198">
        <v>1</v>
      </c>
      <c r="AW216" s="245">
        <f t="shared" ref="AW216" si="360">$F216*AU216*AV216</f>
        <v>0</v>
      </c>
      <c r="AX216" s="379"/>
      <c r="AY216" s="376"/>
      <c r="AZ216" s="376"/>
      <c r="BA216" s="376"/>
      <c r="BB216" s="376"/>
      <c r="BC216" s="376"/>
      <c r="BD216" s="373"/>
      <c r="BE216" s="245">
        <f t="shared" ref="BE216:BE223" si="361">AW216*BD$215</f>
        <v>0</v>
      </c>
      <c r="BG216" s="41"/>
      <c r="BH216" s="24"/>
      <c r="BI216" s="24"/>
      <c r="BJ216" s="24"/>
      <c r="BK216" s="25"/>
      <c r="BL216" s="82">
        <f t="shared" ref="BL216" si="362">SUM(BG216:BK216)</f>
        <v>0</v>
      </c>
      <c r="BM216" s="198">
        <v>1</v>
      </c>
      <c r="BN216" s="245">
        <f t="shared" ref="BN216" si="363">$F216*BL216*BM216</f>
        <v>0</v>
      </c>
      <c r="BO216" s="379"/>
      <c r="BP216" s="376"/>
      <c r="BQ216" s="376"/>
      <c r="BR216" s="376"/>
      <c r="BS216" s="376"/>
      <c r="BT216" s="376"/>
      <c r="BU216" s="373"/>
      <c r="BV216" s="245">
        <f t="shared" ref="BV216:BV223" si="364">BN216*BU$215</f>
        <v>0</v>
      </c>
      <c r="BX216" s="41"/>
      <c r="BY216" s="46"/>
      <c r="BZ216" s="46"/>
      <c r="CA216" s="46"/>
      <c r="CB216" s="47"/>
      <c r="CC216" s="82">
        <f t="shared" ref="CC216" si="365">SUM(BX216:CB216)</f>
        <v>0</v>
      </c>
      <c r="CD216" s="198">
        <v>1</v>
      </c>
      <c r="CE216" s="245">
        <f t="shared" ref="CE216" si="366">$F216*CC216*CD216</f>
        <v>0</v>
      </c>
      <c r="CF216" s="379"/>
      <c r="CG216" s="376"/>
      <c r="CH216" s="376"/>
      <c r="CI216" s="376"/>
      <c r="CJ216" s="376"/>
      <c r="CK216" s="376"/>
      <c r="CL216" s="373"/>
      <c r="CM216" s="245">
        <f t="shared" ref="CM216:CM223" si="367">CE216*CL$215</f>
        <v>0</v>
      </c>
      <c r="CN216" s="39"/>
      <c r="CO216" s="55"/>
      <c r="CP216" s="75">
        <f t="shared" si="351"/>
        <v>0</v>
      </c>
      <c r="CQ216" s="3"/>
      <c r="CR216" s="76">
        <f t="shared" si="352"/>
        <v>0</v>
      </c>
      <c r="CT216" s="76">
        <f t="shared" si="315"/>
        <v>0</v>
      </c>
    </row>
    <row r="217" spans="1:98" ht="15" customHeight="1" x14ac:dyDescent="0.2">
      <c r="A217" s="389"/>
      <c r="B217" s="399"/>
      <c r="C217" s="239" t="s">
        <v>334</v>
      </c>
      <c r="D217" s="258" t="s">
        <v>548</v>
      </c>
      <c r="E217" s="234" t="s">
        <v>96</v>
      </c>
      <c r="F217" s="300">
        <f>F1*(7.2*(1.014*1.012*1.015)*1.1/1.17)*1.028</f>
        <v>7.4183068120761604</v>
      </c>
      <c r="H217" s="41"/>
      <c r="I217" s="46"/>
      <c r="J217" s="46"/>
      <c r="K217" s="46"/>
      <c r="L217" s="47"/>
      <c r="M217" s="82">
        <f t="shared" si="353"/>
        <v>0</v>
      </c>
      <c r="N217" s="198">
        <v>1</v>
      </c>
      <c r="O217" s="245">
        <f t="shared" si="354"/>
        <v>0</v>
      </c>
      <c r="P217" s="379"/>
      <c r="Q217" s="376"/>
      <c r="R217" s="376"/>
      <c r="S217" s="376"/>
      <c r="T217" s="376"/>
      <c r="U217" s="376"/>
      <c r="V217" s="373"/>
      <c r="W217" s="245">
        <f t="shared" si="355"/>
        <v>0</v>
      </c>
      <c r="Y217" s="41"/>
      <c r="Z217" s="46"/>
      <c r="AA217" s="46"/>
      <c r="AB217" s="46"/>
      <c r="AC217" s="47"/>
      <c r="AD217" s="82">
        <f t="shared" ref="AD217" si="368">SUM(Y217:AC217)</f>
        <v>0</v>
      </c>
      <c r="AE217" s="198">
        <v>1</v>
      </c>
      <c r="AF217" s="245">
        <f t="shared" ref="AF217" si="369">$F217*AD217*AE217</f>
        <v>0</v>
      </c>
      <c r="AG217" s="379"/>
      <c r="AH217" s="376"/>
      <c r="AI217" s="376"/>
      <c r="AJ217" s="376"/>
      <c r="AK217" s="376"/>
      <c r="AL217" s="376"/>
      <c r="AM217" s="373"/>
      <c r="AN217" s="245">
        <f t="shared" si="358"/>
        <v>0</v>
      </c>
      <c r="AP217" s="41"/>
      <c r="AQ217" s="24"/>
      <c r="AR217" s="24"/>
      <c r="AS217" s="24"/>
      <c r="AT217" s="25"/>
      <c r="AU217" s="82">
        <f t="shared" ref="AU217" si="370">SUM(AP217:AT217)</f>
        <v>0</v>
      </c>
      <c r="AV217" s="198">
        <v>1</v>
      </c>
      <c r="AW217" s="245">
        <f t="shared" ref="AW217" si="371">$F217*AU217*AV217</f>
        <v>0</v>
      </c>
      <c r="AX217" s="379"/>
      <c r="AY217" s="376"/>
      <c r="AZ217" s="376"/>
      <c r="BA217" s="376"/>
      <c r="BB217" s="376"/>
      <c r="BC217" s="376"/>
      <c r="BD217" s="373"/>
      <c r="BE217" s="245">
        <f t="shared" si="361"/>
        <v>0</v>
      </c>
      <c r="BG217" s="41"/>
      <c r="BH217" s="24"/>
      <c r="BI217" s="24"/>
      <c r="BJ217" s="24"/>
      <c r="BK217" s="25"/>
      <c r="BL217" s="82">
        <f t="shared" ref="BL217" si="372">SUM(BG217:BK217)</f>
        <v>0</v>
      </c>
      <c r="BM217" s="198">
        <v>1</v>
      </c>
      <c r="BN217" s="245">
        <f t="shared" ref="BN217" si="373">$F217*BL217*BM217</f>
        <v>0</v>
      </c>
      <c r="BO217" s="379"/>
      <c r="BP217" s="376"/>
      <c r="BQ217" s="376"/>
      <c r="BR217" s="376"/>
      <c r="BS217" s="376"/>
      <c r="BT217" s="376"/>
      <c r="BU217" s="373"/>
      <c r="BV217" s="245">
        <f t="shared" si="364"/>
        <v>0</v>
      </c>
      <c r="BX217" s="41"/>
      <c r="BY217" s="46"/>
      <c r="BZ217" s="46"/>
      <c r="CA217" s="46"/>
      <c r="CB217" s="47"/>
      <c r="CC217" s="82">
        <f t="shared" ref="CC217" si="374">SUM(BX217:CB217)</f>
        <v>0</v>
      </c>
      <c r="CD217" s="198">
        <v>1</v>
      </c>
      <c r="CE217" s="245">
        <f t="shared" ref="CE217" si="375">$F217*CC217*CD217</f>
        <v>0</v>
      </c>
      <c r="CF217" s="379"/>
      <c r="CG217" s="376"/>
      <c r="CH217" s="376"/>
      <c r="CI217" s="376"/>
      <c r="CJ217" s="376"/>
      <c r="CK217" s="376"/>
      <c r="CL217" s="373"/>
      <c r="CM217" s="245">
        <f t="shared" si="367"/>
        <v>0</v>
      </c>
      <c r="CN217" s="39"/>
      <c r="CO217" s="55"/>
      <c r="CP217" s="75">
        <f t="shared" si="351"/>
        <v>0</v>
      </c>
      <c r="CQ217" s="3"/>
      <c r="CR217" s="76">
        <f t="shared" si="352"/>
        <v>0</v>
      </c>
      <c r="CT217" s="76">
        <f t="shared" si="315"/>
        <v>0</v>
      </c>
    </row>
    <row r="218" spans="1:98" ht="15" customHeight="1" x14ac:dyDescent="0.2">
      <c r="A218" s="389"/>
      <c r="B218" s="399"/>
      <c r="C218" s="239" t="s">
        <v>335</v>
      </c>
      <c r="D218" s="258" t="s">
        <v>547</v>
      </c>
      <c r="E218" s="234" t="s">
        <v>96</v>
      </c>
      <c r="F218" s="301">
        <f>F1*(6.6*(1.014*1.012*1.015)*1.1/1.17)*1.028</f>
        <v>6.8001145777364789</v>
      </c>
      <c r="H218" s="365"/>
      <c r="I218" s="24"/>
      <c r="J218" s="24"/>
      <c r="K218" s="24"/>
      <c r="L218" s="25"/>
      <c r="M218" s="82">
        <f t="shared" ref="M218:M221" si="376">SUM(H218:L218)</f>
        <v>0</v>
      </c>
      <c r="N218" s="198">
        <v>1</v>
      </c>
      <c r="O218" s="245">
        <f t="shared" si="341"/>
        <v>0</v>
      </c>
      <c r="P218" s="379"/>
      <c r="Q218" s="376"/>
      <c r="R218" s="376"/>
      <c r="S218" s="376"/>
      <c r="T218" s="376"/>
      <c r="U218" s="376"/>
      <c r="V218" s="373"/>
      <c r="W218" s="245">
        <f t="shared" si="355"/>
        <v>0</v>
      </c>
      <c r="Y218" s="43"/>
      <c r="Z218" s="24"/>
      <c r="AA218" s="24"/>
      <c r="AB218" s="24"/>
      <c r="AC218" s="25"/>
      <c r="AD218" s="82">
        <f t="shared" ref="AD218:AD221" si="377">SUM(Y218:AC218)</f>
        <v>0</v>
      </c>
      <c r="AE218" s="198">
        <v>1</v>
      </c>
      <c r="AF218" s="245">
        <f t="shared" si="343"/>
        <v>0</v>
      </c>
      <c r="AG218" s="379"/>
      <c r="AH218" s="376"/>
      <c r="AI218" s="376"/>
      <c r="AJ218" s="376"/>
      <c r="AK218" s="376"/>
      <c r="AL218" s="376"/>
      <c r="AM218" s="373"/>
      <c r="AN218" s="245">
        <f t="shared" si="358"/>
        <v>0</v>
      </c>
      <c r="AP218" s="43"/>
      <c r="AQ218" s="24"/>
      <c r="AR218" s="24"/>
      <c r="AS218" s="24"/>
      <c r="AT218" s="25"/>
      <c r="AU218" s="82">
        <f t="shared" ref="AU218:AU221" si="378">SUM(AP218:AT218)</f>
        <v>0</v>
      </c>
      <c r="AV218" s="198">
        <v>1</v>
      </c>
      <c r="AW218" s="245">
        <f t="shared" si="345"/>
        <v>0</v>
      </c>
      <c r="AX218" s="379"/>
      <c r="AY218" s="376"/>
      <c r="AZ218" s="376"/>
      <c r="BA218" s="376"/>
      <c r="BB218" s="376"/>
      <c r="BC218" s="376"/>
      <c r="BD218" s="373"/>
      <c r="BE218" s="245">
        <f t="shared" si="361"/>
        <v>0</v>
      </c>
      <c r="BG218" s="43"/>
      <c r="BH218" s="24"/>
      <c r="BI218" s="24"/>
      <c r="BJ218" s="24"/>
      <c r="BK218" s="25"/>
      <c r="BL218" s="82">
        <f t="shared" ref="BL218:BL221" si="379">SUM(BG218:BK218)</f>
        <v>0</v>
      </c>
      <c r="BM218" s="198">
        <v>1</v>
      </c>
      <c r="BN218" s="245">
        <f t="shared" si="347"/>
        <v>0</v>
      </c>
      <c r="BO218" s="379"/>
      <c r="BP218" s="376"/>
      <c r="BQ218" s="376"/>
      <c r="BR218" s="376"/>
      <c r="BS218" s="376"/>
      <c r="BT218" s="376"/>
      <c r="BU218" s="373"/>
      <c r="BV218" s="245">
        <f t="shared" si="364"/>
        <v>0</v>
      </c>
      <c r="BX218" s="43"/>
      <c r="BY218" s="24"/>
      <c r="BZ218" s="24"/>
      <c r="CA218" s="24"/>
      <c r="CB218" s="25"/>
      <c r="CC218" s="82">
        <f t="shared" ref="CC218:CC221" si="380">SUM(BX218:CB218)</f>
        <v>0</v>
      </c>
      <c r="CD218" s="198">
        <v>1</v>
      </c>
      <c r="CE218" s="245">
        <f t="shared" si="349"/>
        <v>0</v>
      </c>
      <c r="CF218" s="379"/>
      <c r="CG218" s="376"/>
      <c r="CH218" s="376"/>
      <c r="CI218" s="376"/>
      <c r="CJ218" s="376"/>
      <c r="CK218" s="376"/>
      <c r="CL218" s="373"/>
      <c r="CM218" s="245">
        <f t="shared" si="367"/>
        <v>0</v>
      </c>
      <c r="CN218" s="39"/>
      <c r="CO218" s="55"/>
      <c r="CP218" s="75">
        <f t="shared" si="351"/>
        <v>0</v>
      </c>
      <c r="CQ218" s="3"/>
      <c r="CR218" s="76">
        <f t="shared" si="352"/>
        <v>0</v>
      </c>
      <c r="CT218" s="76">
        <f t="shared" si="315"/>
        <v>0</v>
      </c>
    </row>
    <row r="219" spans="1:98" ht="15" customHeight="1" x14ac:dyDescent="0.2">
      <c r="A219" s="389"/>
      <c r="B219" s="399"/>
      <c r="C219" s="239" t="s">
        <v>336</v>
      </c>
      <c r="D219" s="242" t="s">
        <v>97</v>
      </c>
      <c r="E219" s="234" t="s">
        <v>96</v>
      </c>
      <c r="F219" s="301">
        <f>F1*(1.1*(1.014*1.012*1.015)*1.1/1.17)*1.028</f>
        <v>1.1333524296227468</v>
      </c>
      <c r="H219" s="365"/>
      <c r="I219" s="24"/>
      <c r="J219" s="24"/>
      <c r="K219" s="24"/>
      <c r="L219" s="25"/>
      <c r="M219" s="82">
        <f t="shared" si="376"/>
        <v>0</v>
      </c>
      <c r="N219" s="198">
        <v>1</v>
      </c>
      <c r="O219" s="245">
        <f t="shared" si="341"/>
        <v>0</v>
      </c>
      <c r="P219" s="379"/>
      <c r="Q219" s="376"/>
      <c r="R219" s="376"/>
      <c r="S219" s="376"/>
      <c r="T219" s="376"/>
      <c r="U219" s="376"/>
      <c r="V219" s="373"/>
      <c r="W219" s="245">
        <f t="shared" si="355"/>
        <v>0</v>
      </c>
      <c r="Y219" s="43">
        <v>17.5</v>
      </c>
      <c r="Z219" s="24"/>
      <c r="AA219" s="24"/>
      <c r="AB219" s="24"/>
      <c r="AC219" s="25"/>
      <c r="AD219" s="82">
        <f t="shared" si="377"/>
        <v>17.5</v>
      </c>
      <c r="AE219" s="198">
        <v>1</v>
      </c>
      <c r="AF219" s="245">
        <f t="shared" si="343"/>
        <v>19.83366751839807</v>
      </c>
      <c r="AG219" s="379"/>
      <c r="AH219" s="376"/>
      <c r="AI219" s="376"/>
      <c r="AJ219" s="376"/>
      <c r="AK219" s="376"/>
      <c r="AL219" s="376"/>
      <c r="AM219" s="373"/>
      <c r="AN219" s="245">
        <f t="shared" si="358"/>
        <v>26.413687910349935</v>
      </c>
      <c r="AP219" s="43"/>
      <c r="AQ219" s="24"/>
      <c r="AR219" s="24"/>
      <c r="AS219" s="24"/>
      <c r="AT219" s="25"/>
      <c r="AU219" s="82">
        <f t="shared" si="378"/>
        <v>0</v>
      </c>
      <c r="AV219" s="198">
        <v>1</v>
      </c>
      <c r="AW219" s="245">
        <f t="shared" si="345"/>
        <v>0</v>
      </c>
      <c r="AX219" s="379"/>
      <c r="AY219" s="376"/>
      <c r="AZ219" s="376"/>
      <c r="BA219" s="376"/>
      <c r="BB219" s="376"/>
      <c r="BC219" s="376"/>
      <c r="BD219" s="373"/>
      <c r="BE219" s="245">
        <f t="shared" si="361"/>
        <v>0</v>
      </c>
      <c r="BG219" s="43"/>
      <c r="BH219" s="24"/>
      <c r="BI219" s="24"/>
      <c r="BJ219" s="24"/>
      <c r="BK219" s="25"/>
      <c r="BL219" s="82">
        <f t="shared" si="379"/>
        <v>0</v>
      </c>
      <c r="BM219" s="198">
        <v>1</v>
      </c>
      <c r="BN219" s="245">
        <f t="shared" si="347"/>
        <v>0</v>
      </c>
      <c r="BO219" s="379"/>
      <c r="BP219" s="376"/>
      <c r="BQ219" s="376"/>
      <c r="BR219" s="376"/>
      <c r="BS219" s="376"/>
      <c r="BT219" s="376"/>
      <c r="BU219" s="373"/>
      <c r="BV219" s="245">
        <f t="shared" si="364"/>
        <v>0</v>
      </c>
      <c r="BX219" s="43"/>
      <c r="BY219" s="24"/>
      <c r="BZ219" s="24"/>
      <c r="CA219" s="24"/>
      <c r="CB219" s="25"/>
      <c r="CC219" s="82">
        <f t="shared" si="380"/>
        <v>0</v>
      </c>
      <c r="CD219" s="198">
        <v>1</v>
      </c>
      <c r="CE219" s="245">
        <f t="shared" si="349"/>
        <v>0</v>
      </c>
      <c r="CF219" s="379"/>
      <c r="CG219" s="376"/>
      <c r="CH219" s="376"/>
      <c r="CI219" s="376"/>
      <c r="CJ219" s="376"/>
      <c r="CK219" s="376"/>
      <c r="CL219" s="373"/>
      <c r="CM219" s="245">
        <f t="shared" si="367"/>
        <v>0</v>
      </c>
      <c r="CN219" s="39"/>
      <c r="CO219" s="55"/>
      <c r="CP219" s="75">
        <f t="shared" si="351"/>
        <v>19.83366751839807</v>
      </c>
      <c r="CQ219" s="3"/>
      <c r="CR219" s="76">
        <f t="shared" si="352"/>
        <v>26.413687910349935</v>
      </c>
      <c r="CT219" s="76">
        <f t="shared" si="315"/>
        <v>17.5</v>
      </c>
    </row>
    <row r="220" spans="1:98" ht="15" customHeight="1" x14ac:dyDescent="0.2">
      <c r="A220" s="389"/>
      <c r="B220" s="394" t="s">
        <v>41</v>
      </c>
      <c r="C220" s="239" t="s">
        <v>337</v>
      </c>
      <c r="D220" s="201" t="s">
        <v>357</v>
      </c>
      <c r="E220" s="202"/>
      <c r="F220" s="322"/>
      <c r="H220" s="43"/>
      <c r="I220" s="24"/>
      <c r="J220" s="24"/>
      <c r="K220" s="24"/>
      <c r="L220" s="25"/>
      <c r="M220" s="82">
        <f t="shared" si="376"/>
        <v>0</v>
      </c>
      <c r="N220" s="198">
        <v>1</v>
      </c>
      <c r="O220" s="245">
        <f t="shared" si="341"/>
        <v>0</v>
      </c>
      <c r="P220" s="379"/>
      <c r="Q220" s="376"/>
      <c r="R220" s="376"/>
      <c r="S220" s="376"/>
      <c r="T220" s="376"/>
      <c r="U220" s="376"/>
      <c r="V220" s="373"/>
      <c r="W220" s="245">
        <f t="shared" si="355"/>
        <v>0</v>
      </c>
      <c r="Y220" s="43"/>
      <c r="Z220" s="24"/>
      <c r="AA220" s="24"/>
      <c r="AB220" s="24"/>
      <c r="AC220" s="25"/>
      <c r="AD220" s="82">
        <f t="shared" si="377"/>
        <v>0</v>
      </c>
      <c r="AE220" s="198">
        <v>1</v>
      </c>
      <c r="AF220" s="245">
        <f t="shared" si="343"/>
        <v>0</v>
      </c>
      <c r="AG220" s="379"/>
      <c r="AH220" s="376"/>
      <c r="AI220" s="376"/>
      <c r="AJ220" s="376"/>
      <c r="AK220" s="376"/>
      <c r="AL220" s="376"/>
      <c r="AM220" s="373"/>
      <c r="AN220" s="245">
        <f t="shared" si="358"/>
        <v>0</v>
      </c>
      <c r="AP220" s="43"/>
      <c r="AQ220" s="24"/>
      <c r="AR220" s="24"/>
      <c r="AS220" s="24"/>
      <c r="AT220" s="25"/>
      <c r="AU220" s="82">
        <f t="shared" si="378"/>
        <v>0</v>
      </c>
      <c r="AV220" s="198">
        <v>1</v>
      </c>
      <c r="AW220" s="245">
        <f t="shared" si="345"/>
        <v>0</v>
      </c>
      <c r="AX220" s="379"/>
      <c r="AY220" s="376"/>
      <c r="AZ220" s="376"/>
      <c r="BA220" s="376"/>
      <c r="BB220" s="376"/>
      <c r="BC220" s="376"/>
      <c r="BD220" s="373"/>
      <c r="BE220" s="245">
        <f t="shared" si="361"/>
        <v>0</v>
      </c>
      <c r="BG220" s="43"/>
      <c r="BH220" s="24"/>
      <c r="BI220" s="24"/>
      <c r="BJ220" s="24"/>
      <c r="BK220" s="25"/>
      <c r="BL220" s="82">
        <f t="shared" si="379"/>
        <v>0</v>
      </c>
      <c r="BM220" s="198">
        <v>1</v>
      </c>
      <c r="BN220" s="245">
        <f t="shared" si="347"/>
        <v>0</v>
      </c>
      <c r="BO220" s="379"/>
      <c r="BP220" s="376"/>
      <c r="BQ220" s="376"/>
      <c r="BR220" s="376"/>
      <c r="BS220" s="376"/>
      <c r="BT220" s="376"/>
      <c r="BU220" s="373"/>
      <c r="BV220" s="245">
        <f t="shared" si="364"/>
        <v>0</v>
      </c>
      <c r="BX220" s="43"/>
      <c r="BY220" s="24"/>
      <c r="BZ220" s="24"/>
      <c r="CA220" s="24"/>
      <c r="CB220" s="25"/>
      <c r="CC220" s="82">
        <f t="shared" si="380"/>
        <v>0</v>
      </c>
      <c r="CD220" s="198">
        <v>1</v>
      </c>
      <c r="CE220" s="245">
        <f t="shared" si="349"/>
        <v>0</v>
      </c>
      <c r="CF220" s="379"/>
      <c r="CG220" s="376"/>
      <c r="CH220" s="376"/>
      <c r="CI220" s="376"/>
      <c r="CJ220" s="376"/>
      <c r="CK220" s="376"/>
      <c r="CL220" s="373"/>
      <c r="CM220" s="245">
        <f t="shared" si="367"/>
        <v>0</v>
      </c>
      <c r="CN220" s="39"/>
      <c r="CO220" s="55"/>
      <c r="CP220" s="75">
        <f t="shared" si="351"/>
        <v>0</v>
      </c>
      <c r="CQ220" s="3"/>
      <c r="CR220" s="76">
        <f t="shared" si="352"/>
        <v>0</v>
      </c>
      <c r="CT220" s="76">
        <f t="shared" si="315"/>
        <v>0</v>
      </c>
    </row>
    <row r="221" spans="1:98" ht="15" customHeight="1" x14ac:dyDescent="0.2">
      <c r="A221" s="389"/>
      <c r="B221" s="395"/>
      <c r="C221" s="239" t="s">
        <v>338</v>
      </c>
      <c r="D221" s="201" t="s">
        <v>357</v>
      </c>
      <c r="E221" s="202"/>
      <c r="F221" s="322"/>
      <c r="H221" s="43"/>
      <c r="I221" s="24"/>
      <c r="J221" s="24"/>
      <c r="K221" s="24"/>
      <c r="L221" s="25"/>
      <c r="M221" s="82">
        <f t="shared" si="376"/>
        <v>0</v>
      </c>
      <c r="N221" s="198">
        <v>1</v>
      </c>
      <c r="O221" s="245">
        <f t="shared" si="341"/>
        <v>0</v>
      </c>
      <c r="P221" s="379"/>
      <c r="Q221" s="376"/>
      <c r="R221" s="376"/>
      <c r="S221" s="376"/>
      <c r="T221" s="376"/>
      <c r="U221" s="376"/>
      <c r="V221" s="373"/>
      <c r="W221" s="245">
        <f t="shared" si="355"/>
        <v>0</v>
      </c>
      <c r="Y221" s="43"/>
      <c r="Z221" s="24"/>
      <c r="AA221" s="24"/>
      <c r="AB221" s="24"/>
      <c r="AC221" s="25"/>
      <c r="AD221" s="82">
        <f t="shared" si="377"/>
        <v>0</v>
      </c>
      <c r="AE221" s="198">
        <v>1</v>
      </c>
      <c r="AF221" s="245">
        <f t="shared" si="343"/>
        <v>0</v>
      </c>
      <c r="AG221" s="379"/>
      <c r="AH221" s="376"/>
      <c r="AI221" s="376"/>
      <c r="AJ221" s="376"/>
      <c r="AK221" s="376"/>
      <c r="AL221" s="376"/>
      <c r="AM221" s="373"/>
      <c r="AN221" s="245">
        <f t="shared" si="358"/>
        <v>0</v>
      </c>
      <c r="AP221" s="43"/>
      <c r="AQ221" s="24"/>
      <c r="AR221" s="24"/>
      <c r="AS221" s="24"/>
      <c r="AT221" s="25"/>
      <c r="AU221" s="82">
        <f t="shared" si="378"/>
        <v>0</v>
      </c>
      <c r="AV221" s="198">
        <v>1</v>
      </c>
      <c r="AW221" s="245">
        <f t="shared" si="345"/>
        <v>0</v>
      </c>
      <c r="AX221" s="379"/>
      <c r="AY221" s="376"/>
      <c r="AZ221" s="376"/>
      <c r="BA221" s="376"/>
      <c r="BB221" s="376"/>
      <c r="BC221" s="376"/>
      <c r="BD221" s="373"/>
      <c r="BE221" s="245">
        <f t="shared" si="361"/>
        <v>0</v>
      </c>
      <c r="BG221" s="43"/>
      <c r="BH221" s="24"/>
      <c r="BI221" s="24"/>
      <c r="BJ221" s="24"/>
      <c r="BK221" s="25"/>
      <c r="BL221" s="82">
        <f t="shared" si="379"/>
        <v>0</v>
      </c>
      <c r="BM221" s="198">
        <v>1</v>
      </c>
      <c r="BN221" s="245">
        <f t="shared" si="347"/>
        <v>0</v>
      </c>
      <c r="BO221" s="379"/>
      <c r="BP221" s="376"/>
      <c r="BQ221" s="376"/>
      <c r="BR221" s="376"/>
      <c r="BS221" s="376"/>
      <c r="BT221" s="376"/>
      <c r="BU221" s="373"/>
      <c r="BV221" s="245">
        <f t="shared" si="364"/>
        <v>0</v>
      </c>
      <c r="BX221" s="43"/>
      <c r="BY221" s="24"/>
      <c r="BZ221" s="24"/>
      <c r="CA221" s="24"/>
      <c r="CB221" s="25"/>
      <c r="CC221" s="82">
        <f t="shared" si="380"/>
        <v>0</v>
      </c>
      <c r="CD221" s="198">
        <v>1</v>
      </c>
      <c r="CE221" s="245">
        <f t="shared" si="349"/>
        <v>0</v>
      </c>
      <c r="CF221" s="379"/>
      <c r="CG221" s="376"/>
      <c r="CH221" s="376"/>
      <c r="CI221" s="376"/>
      <c r="CJ221" s="376"/>
      <c r="CK221" s="376"/>
      <c r="CL221" s="373"/>
      <c r="CM221" s="245">
        <f t="shared" si="367"/>
        <v>0</v>
      </c>
      <c r="CN221" s="39"/>
      <c r="CO221" s="55"/>
      <c r="CP221" s="75">
        <f t="shared" si="351"/>
        <v>0</v>
      </c>
      <c r="CQ221" s="3"/>
      <c r="CR221" s="76">
        <f t="shared" si="352"/>
        <v>0</v>
      </c>
      <c r="CT221" s="76">
        <f t="shared" si="315"/>
        <v>0</v>
      </c>
    </row>
    <row r="222" spans="1:98" ht="15" customHeight="1" x14ac:dyDescent="0.2">
      <c r="A222" s="389"/>
      <c r="B222" s="395"/>
      <c r="C222" s="239" t="s">
        <v>500</v>
      </c>
      <c r="D222" s="204" t="s">
        <v>215</v>
      </c>
      <c r="E222" s="205" t="s">
        <v>10</v>
      </c>
      <c r="F222" s="323"/>
      <c r="H222" s="43"/>
      <c r="I222" s="24"/>
      <c r="J222" s="24"/>
      <c r="K222" s="24"/>
      <c r="L222" s="25"/>
      <c r="M222" s="82"/>
      <c r="N222" s="246"/>
      <c r="O222" s="245">
        <f>SUM(H222:L222)</f>
        <v>0</v>
      </c>
      <c r="P222" s="379"/>
      <c r="Q222" s="376"/>
      <c r="R222" s="376"/>
      <c r="S222" s="376"/>
      <c r="T222" s="376"/>
      <c r="U222" s="376"/>
      <c r="V222" s="373"/>
      <c r="W222" s="245">
        <f t="shared" si="355"/>
        <v>0</v>
      </c>
      <c r="Y222" s="43"/>
      <c r="Z222" s="24"/>
      <c r="AA222" s="24"/>
      <c r="AB222" s="24"/>
      <c r="AC222" s="25"/>
      <c r="AD222" s="82"/>
      <c r="AE222" s="246"/>
      <c r="AF222" s="245">
        <f>SUM(Y222:AC222)</f>
        <v>0</v>
      </c>
      <c r="AG222" s="379"/>
      <c r="AH222" s="376"/>
      <c r="AI222" s="376"/>
      <c r="AJ222" s="376"/>
      <c r="AK222" s="376"/>
      <c r="AL222" s="376"/>
      <c r="AM222" s="373"/>
      <c r="AN222" s="245">
        <f t="shared" si="358"/>
        <v>0</v>
      </c>
      <c r="AP222" s="43"/>
      <c r="AQ222" s="24"/>
      <c r="AR222" s="24"/>
      <c r="AS222" s="24"/>
      <c r="AT222" s="25"/>
      <c r="AU222" s="82"/>
      <c r="AV222" s="246"/>
      <c r="AW222" s="245">
        <f>SUM(AP222:AT222)</f>
        <v>0</v>
      </c>
      <c r="AX222" s="379"/>
      <c r="AY222" s="376"/>
      <c r="AZ222" s="376"/>
      <c r="BA222" s="376"/>
      <c r="BB222" s="376"/>
      <c r="BC222" s="376"/>
      <c r="BD222" s="373"/>
      <c r="BE222" s="245">
        <f t="shared" si="361"/>
        <v>0</v>
      </c>
      <c r="BG222" s="43"/>
      <c r="BH222" s="24"/>
      <c r="BI222" s="24"/>
      <c r="BJ222" s="24"/>
      <c r="BK222" s="25"/>
      <c r="BL222" s="82"/>
      <c r="BM222" s="246"/>
      <c r="BN222" s="245">
        <f>SUM(BG222:BK222)</f>
        <v>0</v>
      </c>
      <c r="BO222" s="379"/>
      <c r="BP222" s="376"/>
      <c r="BQ222" s="376"/>
      <c r="BR222" s="376"/>
      <c r="BS222" s="376"/>
      <c r="BT222" s="376"/>
      <c r="BU222" s="373"/>
      <c r="BV222" s="245">
        <f t="shared" si="364"/>
        <v>0</v>
      </c>
      <c r="BX222" s="43"/>
      <c r="BY222" s="24"/>
      <c r="BZ222" s="24"/>
      <c r="CA222" s="24"/>
      <c r="CB222" s="25"/>
      <c r="CC222" s="82"/>
      <c r="CD222" s="246"/>
      <c r="CE222" s="245">
        <f>SUM(BX222:CB222)</f>
        <v>0</v>
      </c>
      <c r="CF222" s="379"/>
      <c r="CG222" s="376"/>
      <c r="CH222" s="376"/>
      <c r="CI222" s="376"/>
      <c r="CJ222" s="376"/>
      <c r="CK222" s="376"/>
      <c r="CL222" s="373"/>
      <c r="CM222" s="245">
        <f t="shared" si="367"/>
        <v>0</v>
      </c>
      <c r="CN222" s="39"/>
      <c r="CO222" s="55"/>
      <c r="CP222" s="75">
        <f t="shared" si="351"/>
        <v>0</v>
      </c>
      <c r="CQ222" s="3"/>
      <c r="CR222" s="76">
        <f t="shared" si="352"/>
        <v>0</v>
      </c>
      <c r="CT222" s="76">
        <f t="shared" si="315"/>
        <v>0</v>
      </c>
    </row>
    <row r="223" spans="1:98" ht="15" customHeight="1" x14ac:dyDescent="0.2">
      <c r="A223" s="389"/>
      <c r="B223" s="395"/>
      <c r="C223" s="239" t="s">
        <v>544</v>
      </c>
      <c r="D223" s="208" t="s">
        <v>215</v>
      </c>
      <c r="E223" s="205" t="s">
        <v>10</v>
      </c>
      <c r="F223" s="323"/>
      <c r="H223" s="43"/>
      <c r="I223" s="24"/>
      <c r="J223" s="24"/>
      <c r="K223" s="24"/>
      <c r="L223" s="25"/>
      <c r="M223" s="82"/>
      <c r="N223" s="246"/>
      <c r="O223" s="245">
        <f>SUM(H223:L223)</f>
        <v>0</v>
      </c>
      <c r="P223" s="380"/>
      <c r="Q223" s="377"/>
      <c r="R223" s="377"/>
      <c r="S223" s="377"/>
      <c r="T223" s="377"/>
      <c r="U223" s="377"/>
      <c r="V223" s="374"/>
      <c r="W223" s="245">
        <f t="shared" si="355"/>
        <v>0</v>
      </c>
      <c r="Y223" s="43"/>
      <c r="Z223" s="24"/>
      <c r="AA223" s="24"/>
      <c r="AB223" s="24"/>
      <c r="AC223" s="25"/>
      <c r="AD223" s="82"/>
      <c r="AE223" s="246"/>
      <c r="AF223" s="245">
        <f>SUM(Y223:AC223)</f>
        <v>0</v>
      </c>
      <c r="AG223" s="380"/>
      <c r="AH223" s="377"/>
      <c r="AI223" s="377"/>
      <c r="AJ223" s="377"/>
      <c r="AK223" s="377"/>
      <c r="AL223" s="377"/>
      <c r="AM223" s="374"/>
      <c r="AN223" s="245">
        <f t="shared" si="358"/>
        <v>0</v>
      </c>
      <c r="AP223" s="43"/>
      <c r="AQ223" s="24"/>
      <c r="AR223" s="24"/>
      <c r="AS223" s="24"/>
      <c r="AT223" s="25"/>
      <c r="AU223" s="82"/>
      <c r="AV223" s="246"/>
      <c r="AW223" s="245">
        <f>SUM(AP223:AT223)</f>
        <v>0</v>
      </c>
      <c r="AX223" s="380"/>
      <c r="AY223" s="377"/>
      <c r="AZ223" s="377"/>
      <c r="BA223" s="377"/>
      <c r="BB223" s="377"/>
      <c r="BC223" s="377"/>
      <c r="BD223" s="374"/>
      <c r="BE223" s="245">
        <f t="shared" si="361"/>
        <v>0</v>
      </c>
      <c r="BG223" s="43"/>
      <c r="BH223" s="24"/>
      <c r="BI223" s="24"/>
      <c r="BJ223" s="24"/>
      <c r="BK223" s="25"/>
      <c r="BL223" s="82"/>
      <c r="BM223" s="246"/>
      <c r="BN223" s="245">
        <f>SUM(BG223:BK223)</f>
        <v>0</v>
      </c>
      <c r="BO223" s="380"/>
      <c r="BP223" s="377"/>
      <c r="BQ223" s="377"/>
      <c r="BR223" s="377"/>
      <c r="BS223" s="377"/>
      <c r="BT223" s="377"/>
      <c r="BU223" s="374"/>
      <c r="BV223" s="245">
        <f t="shared" si="364"/>
        <v>0</v>
      </c>
      <c r="BX223" s="43"/>
      <c r="BY223" s="24"/>
      <c r="BZ223" s="24"/>
      <c r="CA223" s="24"/>
      <c r="CB223" s="25"/>
      <c r="CC223" s="82"/>
      <c r="CD223" s="246"/>
      <c r="CE223" s="245">
        <f>SUM(BX223:CB223)</f>
        <v>0</v>
      </c>
      <c r="CF223" s="380"/>
      <c r="CG223" s="377"/>
      <c r="CH223" s="377"/>
      <c r="CI223" s="377"/>
      <c r="CJ223" s="377"/>
      <c r="CK223" s="377"/>
      <c r="CL223" s="374"/>
      <c r="CM223" s="245">
        <f t="shared" si="367"/>
        <v>0</v>
      </c>
      <c r="CN223" s="39"/>
      <c r="CO223" s="3"/>
      <c r="CP223" s="75">
        <f t="shared" si="351"/>
        <v>0</v>
      </c>
      <c r="CQ223" s="3"/>
      <c r="CR223" s="76">
        <f t="shared" si="352"/>
        <v>0</v>
      </c>
      <c r="CT223" s="76">
        <f t="shared" si="315"/>
        <v>0</v>
      </c>
    </row>
    <row r="224" spans="1:98" ht="15" customHeight="1" thickBot="1" x14ac:dyDescent="0.25">
      <c r="A224" s="389"/>
      <c r="B224" s="223"/>
      <c r="C224" s="224"/>
      <c r="D224" s="225" t="s">
        <v>22</v>
      </c>
      <c r="E224" s="224"/>
      <c r="F224" s="325"/>
      <c r="H224" s="141"/>
      <c r="I224" s="142"/>
      <c r="J224" s="142"/>
      <c r="K224" s="142"/>
      <c r="L224" s="142"/>
      <c r="M224" s="227"/>
      <c r="N224" s="228"/>
      <c r="O224" s="229">
        <f>SUM(O215:O223)</f>
        <v>0</v>
      </c>
      <c r="P224" s="230"/>
      <c r="Q224" s="230"/>
      <c r="R224" s="230"/>
      <c r="S224" s="230"/>
      <c r="T224" s="230"/>
      <c r="U224" s="230"/>
      <c r="V224" s="228"/>
      <c r="W224" s="229">
        <f>SUM(W215:W223)</f>
        <v>0</v>
      </c>
      <c r="Y224" s="141"/>
      <c r="Z224" s="142"/>
      <c r="AA224" s="142"/>
      <c r="AB224" s="142"/>
      <c r="AC224" s="142"/>
      <c r="AD224" s="227"/>
      <c r="AE224" s="228"/>
      <c r="AF224" s="229">
        <f>SUM(AF215:AF223)</f>
        <v>177.60147732383723</v>
      </c>
      <c r="AG224" s="230"/>
      <c r="AH224" s="230"/>
      <c r="AI224" s="230"/>
      <c r="AJ224" s="230"/>
      <c r="AK224" s="230"/>
      <c r="AL224" s="230"/>
      <c r="AM224" s="228"/>
      <c r="AN224" s="229">
        <f>SUM(AN215:AN223)</f>
        <v>236.52256901540619</v>
      </c>
      <c r="AP224" s="141"/>
      <c r="AQ224" s="142"/>
      <c r="AR224" s="142"/>
      <c r="AS224" s="142"/>
      <c r="AT224" s="142"/>
      <c r="AU224" s="227"/>
      <c r="AV224" s="228"/>
      <c r="AW224" s="229">
        <f>SUM(AW215:AW223)</f>
        <v>0</v>
      </c>
      <c r="AX224" s="230"/>
      <c r="AY224" s="230"/>
      <c r="AZ224" s="230"/>
      <c r="BA224" s="230"/>
      <c r="BB224" s="230"/>
      <c r="BC224" s="230"/>
      <c r="BD224" s="228"/>
      <c r="BE224" s="229">
        <f>SUM(BE215:BE223)</f>
        <v>0</v>
      </c>
      <c r="BG224" s="141"/>
      <c r="BH224" s="142"/>
      <c r="BI224" s="142"/>
      <c r="BJ224" s="142"/>
      <c r="BK224" s="142"/>
      <c r="BL224" s="227"/>
      <c r="BM224" s="228"/>
      <c r="BN224" s="229">
        <f>SUM(BN215:BN223)</f>
        <v>0</v>
      </c>
      <c r="BO224" s="230"/>
      <c r="BP224" s="230"/>
      <c r="BQ224" s="230"/>
      <c r="BR224" s="230"/>
      <c r="BS224" s="230"/>
      <c r="BT224" s="230"/>
      <c r="BU224" s="228"/>
      <c r="BV224" s="229">
        <f>SUM(BV215:BV223)</f>
        <v>0</v>
      </c>
      <c r="BX224" s="141"/>
      <c r="BY224" s="142"/>
      <c r="BZ224" s="142"/>
      <c r="CA224" s="142"/>
      <c r="CB224" s="142"/>
      <c r="CC224" s="227"/>
      <c r="CD224" s="228"/>
      <c r="CE224" s="229">
        <f>SUM(CE215:CE223)</f>
        <v>0</v>
      </c>
      <c r="CF224" s="230"/>
      <c r="CG224" s="230"/>
      <c r="CH224" s="230"/>
      <c r="CI224" s="230"/>
      <c r="CJ224" s="230"/>
      <c r="CK224" s="230"/>
      <c r="CL224" s="228"/>
      <c r="CM224" s="229">
        <f>SUM(CM215:CM223)</f>
        <v>0</v>
      </c>
      <c r="CN224" s="39"/>
      <c r="CO224" s="3"/>
      <c r="CP224" s="217">
        <f>SUM(CP215:CP223)</f>
        <v>177.60147732383723</v>
      </c>
      <c r="CQ224" s="3"/>
      <c r="CR224" s="217">
        <f>SUM(CR215:CR223)</f>
        <v>236.52256901540619</v>
      </c>
      <c r="CT224" s="217"/>
    </row>
    <row r="225" spans="1:98" ht="15" customHeight="1" x14ac:dyDescent="0.2">
      <c r="A225" s="388" t="s">
        <v>530</v>
      </c>
      <c r="B225" s="396" t="s">
        <v>46</v>
      </c>
      <c r="C225" s="236" t="s">
        <v>339</v>
      </c>
      <c r="D225" s="250" t="s">
        <v>103</v>
      </c>
      <c r="E225" s="236" t="s">
        <v>104</v>
      </c>
      <c r="F225" s="304">
        <f>F1*(1.6*(1.014*1.012*1.015)*1.1/1.18)*1.028</f>
        <v>1.6345421789320356</v>
      </c>
      <c r="H225" s="41"/>
      <c r="I225" s="46"/>
      <c r="J225" s="46"/>
      <c r="K225" s="46"/>
      <c r="L225" s="47"/>
      <c r="M225" s="92">
        <f>SUM(H225:L225)</f>
        <v>0</v>
      </c>
      <c r="N225" s="193">
        <v>1</v>
      </c>
      <c r="O225" s="238">
        <f t="shared" ref="O225:O238" si="381">$F225*M225*N225</f>
        <v>0</v>
      </c>
      <c r="P225" s="378">
        <f>VLOOKUP(P5,'Databaze rizik'!$K$2:$Z$6,16,FALSE)/100+1</f>
        <v>1.1000000000000001</v>
      </c>
      <c r="Q225" s="375">
        <f>VLOOKUP(Q5,'Databaze rizik'!$K$21:$Z$25,16,FALSE)/100+1</f>
        <v>1.1299999999999999</v>
      </c>
      <c r="R225" s="375">
        <f>VLOOKUP(R5,'Databaze rizik'!$K$41:$Z$45,16,FALSE)/100+1</f>
        <v>1</v>
      </c>
      <c r="S225" s="375">
        <f>VLOOKUP(S5,'Databaze rizik'!$K$61:$Z$66,16,FALSE)/100+1</f>
        <v>1.02</v>
      </c>
      <c r="T225" s="375">
        <f>VLOOKUP(T5,'Databaze rizik'!$K$81:$Z$85,16,FALSE)/100+1</f>
        <v>1.04</v>
      </c>
      <c r="U225" s="375">
        <f>VLOOKUP(U5,'Databaze rizik'!$K$101:$Z$105,16,FALSE)/100+1</f>
        <v>1.04</v>
      </c>
      <c r="V225" s="372">
        <f t="shared" ref="V225" si="382">P225*Q225*R225*S225*T225*U225</f>
        <v>1.3713173759999999</v>
      </c>
      <c r="W225" s="238">
        <f>O225*V$225</f>
        <v>0</v>
      </c>
      <c r="Y225" s="41">
        <v>15</v>
      </c>
      <c r="Z225" s="46"/>
      <c r="AA225" s="46"/>
      <c r="AB225" s="46"/>
      <c r="AC225" s="47"/>
      <c r="AD225" s="92">
        <f>SUM(Y225:AC225)</f>
        <v>15</v>
      </c>
      <c r="AE225" s="193">
        <v>1</v>
      </c>
      <c r="AF225" s="238">
        <f t="shared" ref="AF225:AF238" si="383">$F225*AD225*AE225</f>
        <v>24.518132683980532</v>
      </c>
      <c r="AG225" s="378">
        <f>VLOOKUP(AG5,'Databaze rizik'!$K$2:$Z$6,16,FALSE)/100+1</f>
        <v>1.1000000000000001</v>
      </c>
      <c r="AH225" s="375">
        <f>VLOOKUP(AH5,'Databaze rizik'!$K$21:$Z$25,16,FALSE)/100+1</f>
        <v>1.1299999999999999</v>
      </c>
      <c r="AI225" s="375">
        <f>VLOOKUP(AI5,'Databaze rizik'!$K$41:$Z$45,16,FALSE)/100+1</f>
        <v>1</v>
      </c>
      <c r="AJ225" s="375">
        <f>VLOOKUP(AJ5,'Databaze rizik'!$K$61:$Z$66,16,FALSE)/100+1</f>
        <v>1.02</v>
      </c>
      <c r="AK225" s="375">
        <f>VLOOKUP(AK5,'Databaze rizik'!$K$81:$Z$85,16,FALSE)/100+1</f>
        <v>1.04</v>
      </c>
      <c r="AL225" s="375">
        <f>VLOOKUP(AL5,'Databaze rizik'!$K$101:$Z$105,16,FALSE)/100+1</f>
        <v>1.04</v>
      </c>
      <c r="AM225" s="372">
        <f t="shared" ref="AM225" si="384">AG225*AH225*AI225*AJ225*AK225*AL225</f>
        <v>1.3713173759999999</v>
      </c>
      <c r="AN225" s="238">
        <f>AF225*AM$225</f>
        <v>33.622141376616021</v>
      </c>
      <c r="AP225" s="41"/>
      <c r="AQ225" s="46"/>
      <c r="AR225" s="46"/>
      <c r="AS225" s="46"/>
      <c r="AT225" s="47"/>
      <c r="AU225" s="92">
        <f>SUM(AP225:AT225)</f>
        <v>0</v>
      </c>
      <c r="AV225" s="193">
        <v>1</v>
      </c>
      <c r="AW225" s="238">
        <f t="shared" ref="AW225:AW238" si="385">$F225*AU225*AV225</f>
        <v>0</v>
      </c>
      <c r="AX225" s="378">
        <f>VLOOKUP(AX5,'Databaze rizik'!$K$2:$Z$6,16,FALSE)/100+1</f>
        <v>1.1000000000000001</v>
      </c>
      <c r="AY225" s="375">
        <f>VLOOKUP(AY5,'Databaze rizik'!$K$21:$Z$25,16,FALSE)/100+1</f>
        <v>1.1299999999999999</v>
      </c>
      <c r="AZ225" s="375">
        <f>VLOOKUP(AZ5,'Databaze rizik'!$K$41:$Z$45,16,FALSE)/100+1</f>
        <v>1</v>
      </c>
      <c r="BA225" s="375">
        <f>VLOOKUP(BA5,'Databaze rizik'!$K$61:$Z$66,16,FALSE)/100+1</f>
        <v>1.02</v>
      </c>
      <c r="BB225" s="375">
        <f>VLOOKUP(BB5,'Databaze rizik'!$K$81:$Z$85,16,FALSE)/100+1</f>
        <v>1.04</v>
      </c>
      <c r="BC225" s="375">
        <f>VLOOKUP(BC5,'Databaze rizik'!$K$101:$Z$105,16,FALSE)/100+1</f>
        <v>1.04</v>
      </c>
      <c r="BD225" s="372">
        <f t="shared" ref="BD225" si="386">AX225*AY225*AZ225*BA225*BB225*BC225</f>
        <v>1.3713173759999999</v>
      </c>
      <c r="BE225" s="238">
        <f>AW225*BD$225</f>
        <v>0</v>
      </c>
      <c r="BG225" s="41"/>
      <c r="BH225" s="46"/>
      <c r="BI225" s="46"/>
      <c r="BJ225" s="46"/>
      <c r="BK225" s="47"/>
      <c r="BL225" s="92">
        <f>SUM(BG225:BK225)</f>
        <v>0</v>
      </c>
      <c r="BM225" s="193">
        <v>1</v>
      </c>
      <c r="BN225" s="238">
        <f t="shared" ref="BN225:BN238" si="387">$F225*BL225*BM225</f>
        <v>0</v>
      </c>
      <c r="BO225" s="378">
        <f>VLOOKUP(BO5,'Databaze rizik'!$K$2:$Z$6,16,FALSE)/100+1</f>
        <v>1</v>
      </c>
      <c r="BP225" s="375">
        <f>VLOOKUP(BP5,'Databaze rizik'!$K$21:$Z$25,16,FALSE)/100+1</f>
        <v>1</v>
      </c>
      <c r="BQ225" s="375">
        <f>VLOOKUP(BQ5,'Databaze rizik'!$K$41:$Z$45,16,FALSE)/100+1</f>
        <v>1</v>
      </c>
      <c r="BR225" s="375">
        <f>VLOOKUP(BR5,'Databaze rizik'!$K$61:$Z$66,16,FALSE)/100+1</f>
        <v>1.02</v>
      </c>
      <c r="BS225" s="375">
        <f>VLOOKUP(BS5,'Databaze rizik'!$K$81:$Z$85,16,FALSE)/100+1</f>
        <v>1.04</v>
      </c>
      <c r="BT225" s="375">
        <f>VLOOKUP(BT5,'Databaze rizik'!$K$101:$Z$105,16,FALSE)/100+1</f>
        <v>1.04</v>
      </c>
      <c r="BU225" s="372">
        <f t="shared" ref="BU225" si="388">BO225*BP225*BQ225*BR225*BS225*BT225</f>
        <v>1.103232</v>
      </c>
      <c r="BV225" s="238">
        <f>BN225*BU$225</f>
        <v>0</v>
      </c>
      <c r="BX225" s="41"/>
      <c r="BY225" s="46"/>
      <c r="BZ225" s="46"/>
      <c r="CA225" s="46"/>
      <c r="CB225" s="47"/>
      <c r="CC225" s="92">
        <f>SUM(BX225:CB225)</f>
        <v>0</v>
      </c>
      <c r="CD225" s="193">
        <v>1</v>
      </c>
      <c r="CE225" s="238">
        <f t="shared" ref="CE225:CE238" si="389">$F225*CC225*CD225</f>
        <v>0</v>
      </c>
      <c r="CF225" s="378">
        <f>VLOOKUP(CF5,'Databaze rizik'!$K$2:$Z$6,16,FALSE)/100+1</f>
        <v>1</v>
      </c>
      <c r="CG225" s="375">
        <f>VLOOKUP(CG5,'Databaze rizik'!$K$21:$Z$25,16,FALSE)/100+1</f>
        <v>1</v>
      </c>
      <c r="CH225" s="375">
        <f>VLOOKUP(CH5,'Databaze rizik'!$K$41:$Z$45,16,FALSE)/100+1</f>
        <v>1</v>
      </c>
      <c r="CI225" s="375">
        <f>VLOOKUP(CI5,'Databaze rizik'!$K$61:$Z$66,16,FALSE)/100+1</f>
        <v>1.02</v>
      </c>
      <c r="CJ225" s="375">
        <f>VLOOKUP(CJ5,'Databaze rizik'!$K$81:$Z$85,16,FALSE)/100+1</f>
        <v>1.04</v>
      </c>
      <c r="CK225" s="375">
        <f>VLOOKUP(CK5,'Databaze rizik'!$K$101:$Z$105,16,FALSE)/100+1</f>
        <v>1.04</v>
      </c>
      <c r="CL225" s="372">
        <f t="shared" ref="CL225" si="390">CF225*CG225*CH225*CI225*CJ225*CK225</f>
        <v>1.103232</v>
      </c>
      <c r="CM225" s="238">
        <f>CE225*CL$225</f>
        <v>0</v>
      </c>
      <c r="CN225" s="39"/>
      <c r="CO225" s="55"/>
      <c r="CP225" s="77">
        <f t="shared" ref="CP225:CP240" si="391">SUMIF(H$1:CM$1,1,H225:CM225)</f>
        <v>24.518132683980532</v>
      </c>
      <c r="CQ225" s="3"/>
      <c r="CR225" s="77">
        <f t="shared" ref="CR225:CR240" si="392">SUMIF(H$1:CM$1,2,H225:CM225)</f>
        <v>33.622141376616021</v>
      </c>
      <c r="CT225" s="77">
        <f t="shared" si="315"/>
        <v>15</v>
      </c>
    </row>
    <row r="226" spans="1:98" ht="15" customHeight="1" x14ac:dyDescent="0.2">
      <c r="A226" s="389"/>
      <c r="B226" s="395"/>
      <c r="C226" s="234" t="s">
        <v>340</v>
      </c>
      <c r="D226" s="242" t="s">
        <v>105</v>
      </c>
      <c r="E226" s="234" t="s">
        <v>106</v>
      </c>
      <c r="F226" s="301">
        <f>F1*(0.3*(1.014*1.012*1.015)*1.1/1.18)*1.028</f>
        <v>0.30647665854975659</v>
      </c>
      <c r="H226" s="43"/>
      <c r="I226" s="24"/>
      <c r="J226" s="24"/>
      <c r="K226" s="24"/>
      <c r="L226" s="25"/>
      <c r="M226" s="82">
        <f t="shared" ref="M226:M238" si="393">SUM(H226:L226)</f>
        <v>0</v>
      </c>
      <c r="N226" s="198">
        <v>1</v>
      </c>
      <c r="O226" s="245">
        <f t="shared" si="381"/>
        <v>0</v>
      </c>
      <c r="P226" s="379"/>
      <c r="Q226" s="376"/>
      <c r="R226" s="376"/>
      <c r="S226" s="376"/>
      <c r="T226" s="376"/>
      <c r="U226" s="376"/>
      <c r="V226" s="373"/>
      <c r="W226" s="245">
        <f t="shared" ref="W226:W240" si="394">O226*V$225</f>
        <v>0</v>
      </c>
      <c r="Y226" s="43">
        <v>25</v>
      </c>
      <c r="Z226" s="24"/>
      <c r="AA226" s="24"/>
      <c r="AB226" s="24"/>
      <c r="AC226" s="25"/>
      <c r="AD226" s="82">
        <f t="shared" ref="AD226:AD238" si="395">SUM(Y226:AC226)</f>
        <v>25</v>
      </c>
      <c r="AE226" s="198">
        <v>1</v>
      </c>
      <c r="AF226" s="245">
        <f t="shared" si="383"/>
        <v>7.661916463743915</v>
      </c>
      <c r="AG226" s="379"/>
      <c r="AH226" s="376"/>
      <c r="AI226" s="376"/>
      <c r="AJ226" s="376"/>
      <c r="AK226" s="376"/>
      <c r="AL226" s="376"/>
      <c r="AM226" s="373"/>
      <c r="AN226" s="245">
        <f t="shared" ref="AN226:AN240" si="396">AF226*AM$225</f>
        <v>10.506919180192504</v>
      </c>
      <c r="AP226" s="43"/>
      <c r="AQ226" s="24"/>
      <c r="AR226" s="24"/>
      <c r="AS226" s="24"/>
      <c r="AT226" s="25"/>
      <c r="AU226" s="82">
        <f t="shared" ref="AU226:AU238" si="397">SUM(AP226:AT226)</f>
        <v>0</v>
      </c>
      <c r="AV226" s="198">
        <v>1</v>
      </c>
      <c r="AW226" s="245">
        <f t="shared" si="385"/>
        <v>0</v>
      </c>
      <c r="AX226" s="379"/>
      <c r="AY226" s="376"/>
      <c r="AZ226" s="376"/>
      <c r="BA226" s="376"/>
      <c r="BB226" s="376"/>
      <c r="BC226" s="376"/>
      <c r="BD226" s="373"/>
      <c r="BE226" s="245">
        <f t="shared" ref="BE226:BE240" si="398">AW226*BD$225</f>
        <v>0</v>
      </c>
      <c r="BG226" s="43"/>
      <c r="BH226" s="24"/>
      <c r="BI226" s="24"/>
      <c r="BJ226" s="24"/>
      <c r="BK226" s="25"/>
      <c r="BL226" s="82">
        <f t="shared" ref="BL226:BL238" si="399">SUM(BG226:BK226)</f>
        <v>0</v>
      </c>
      <c r="BM226" s="198">
        <v>1</v>
      </c>
      <c r="BN226" s="245">
        <f t="shared" si="387"/>
        <v>0</v>
      </c>
      <c r="BO226" s="379"/>
      <c r="BP226" s="376"/>
      <c r="BQ226" s="376"/>
      <c r="BR226" s="376"/>
      <c r="BS226" s="376"/>
      <c r="BT226" s="376"/>
      <c r="BU226" s="373"/>
      <c r="BV226" s="245">
        <f t="shared" ref="BV226:BV240" si="400">BN226*BU$225</f>
        <v>0</v>
      </c>
      <c r="BX226" s="43"/>
      <c r="BY226" s="24"/>
      <c r="BZ226" s="24"/>
      <c r="CA226" s="24"/>
      <c r="CB226" s="25"/>
      <c r="CC226" s="82">
        <f t="shared" ref="CC226:CC238" si="401">SUM(BX226:CB226)</f>
        <v>0</v>
      </c>
      <c r="CD226" s="198">
        <v>1</v>
      </c>
      <c r="CE226" s="245">
        <f t="shared" si="389"/>
        <v>0</v>
      </c>
      <c r="CF226" s="379"/>
      <c r="CG226" s="376"/>
      <c r="CH226" s="376"/>
      <c r="CI226" s="376"/>
      <c r="CJ226" s="376"/>
      <c r="CK226" s="376"/>
      <c r="CL226" s="373"/>
      <c r="CM226" s="245">
        <f t="shared" ref="CM226:CM240" si="402">CE226*CL$225</f>
        <v>0</v>
      </c>
      <c r="CN226" s="39"/>
      <c r="CO226" s="55"/>
      <c r="CP226" s="75">
        <f t="shared" si="391"/>
        <v>7.661916463743915</v>
      </c>
      <c r="CQ226" s="3"/>
      <c r="CR226" s="76">
        <f t="shared" si="392"/>
        <v>10.506919180192504</v>
      </c>
      <c r="CT226" s="76">
        <f t="shared" si="315"/>
        <v>25</v>
      </c>
    </row>
    <row r="227" spans="1:98" ht="15" customHeight="1" x14ac:dyDescent="0.2">
      <c r="A227" s="389"/>
      <c r="B227" s="397"/>
      <c r="C227" s="234" t="s">
        <v>341</v>
      </c>
      <c r="D227" s="242" t="s">
        <v>107</v>
      </c>
      <c r="E227" s="234" t="s">
        <v>108</v>
      </c>
      <c r="F227" s="301">
        <f>F1*(0.0045*(1.014*1.012*1.015)*1.1/1.18)*1.028</f>
        <v>4.5971498782463489E-3</v>
      </c>
      <c r="H227" s="43"/>
      <c r="I227" s="24"/>
      <c r="J227" s="24"/>
      <c r="K227" s="24"/>
      <c r="L227" s="25"/>
      <c r="M227" s="82">
        <f t="shared" si="393"/>
        <v>0</v>
      </c>
      <c r="N227" s="198">
        <v>1</v>
      </c>
      <c r="O227" s="245">
        <f t="shared" si="381"/>
        <v>0</v>
      </c>
      <c r="P227" s="379"/>
      <c r="Q227" s="376"/>
      <c r="R227" s="376"/>
      <c r="S227" s="376"/>
      <c r="T227" s="376"/>
      <c r="U227" s="376"/>
      <c r="V227" s="373"/>
      <c r="W227" s="245">
        <f t="shared" si="394"/>
        <v>0</v>
      </c>
      <c r="Y227" s="43"/>
      <c r="Z227" s="24"/>
      <c r="AA227" s="24"/>
      <c r="AB227" s="24"/>
      <c r="AC227" s="25"/>
      <c r="AD227" s="82">
        <f t="shared" si="395"/>
        <v>0</v>
      </c>
      <c r="AE227" s="198">
        <v>1</v>
      </c>
      <c r="AF227" s="245">
        <f t="shared" si="383"/>
        <v>0</v>
      </c>
      <c r="AG227" s="379"/>
      <c r="AH227" s="376"/>
      <c r="AI227" s="376"/>
      <c r="AJ227" s="376"/>
      <c r="AK227" s="376"/>
      <c r="AL227" s="376"/>
      <c r="AM227" s="373"/>
      <c r="AN227" s="245">
        <f t="shared" si="396"/>
        <v>0</v>
      </c>
      <c r="AP227" s="43"/>
      <c r="AQ227" s="24"/>
      <c r="AR227" s="24"/>
      <c r="AS227" s="24"/>
      <c r="AT227" s="25"/>
      <c r="AU227" s="82">
        <f t="shared" si="397"/>
        <v>0</v>
      </c>
      <c r="AV227" s="198">
        <v>1</v>
      </c>
      <c r="AW227" s="245">
        <f t="shared" si="385"/>
        <v>0</v>
      </c>
      <c r="AX227" s="379"/>
      <c r="AY227" s="376"/>
      <c r="AZ227" s="376"/>
      <c r="BA227" s="376"/>
      <c r="BB227" s="376"/>
      <c r="BC227" s="376"/>
      <c r="BD227" s="373"/>
      <c r="BE227" s="245">
        <f t="shared" si="398"/>
        <v>0</v>
      </c>
      <c r="BG227" s="43"/>
      <c r="BH227" s="24"/>
      <c r="BI227" s="24"/>
      <c r="BJ227" s="24"/>
      <c r="BK227" s="25"/>
      <c r="BL227" s="82">
        <f t="shared" si="399"/>
        <v>0</v>
      </c>
      <c r="BM227" s="198">
        <v>1</v>
      </c>
      <c r="BN227" s="245">
        <f t="shared" si="387"/>
        <v>0</v>
      </c>
      <c r="BO227" s="379"/>
      <c r="BP227" s="376"/>
      <c r="BQ227" s="376"/>
      <c r="BR227" s="376"/>
      <c r="BS227" s="376"/>
      <c r="BT227" s="376"/>
      <c r="BU227" s="373"/>
      <c r="BV227" s="245">
        <f t="shared" si="400"/>
        <v>0</v>
      </c>
      <c r="BX227" s="43"/>
      <c r="BY227" s="24"/>
      <c r="BZ227" s="24"/>
      <c r="CA227" s="24"/>
      <c r="CB227" s="25"/>
      <c r="CC227" s="82">
        <f t="shared" si="401"/>
        <v>0</v>
      </c>
      <c r="CD227" s="198">
        <v>1</v>
      </c>
      <c r="CE227" s="245">
        <f t="shared" si="389"/>
        <v>0</v>
      </c>
      <c r="CF227" s="379"/>
      <c r="CG227" s="376"/>
      <c r="CH227" s="376"/>
      <c r="CI227" s="376"/>
      <c r="CJ227" s="376"/>
      <c r="CK227" s="376"/>
      <c r="CL227" s="373"/>
      <c r="CM227" s="245">
        <f t="shared" si="402"/>
        <v>0</v>
      </c>
      <c r="CN227" s="39"/>
      <c r="CO227" s="3"/>
      <c r="CP227" s="75">
        <f t="shared" si="391"/>
        <v>0</v>
      </c>
      <c r="CQ227" s="3"/>
      <c r="CR227" s="76">
        <f t="shared" si="392"/>
        <v>0</v>
      </c>
      <c r="CT227" s="76">
        <f t="shared" si="315"/>
        <v>0</v>
      </c>
    </row>
    <row r="228" spans="1:98" ht="15" customHeight="1" x14ac:dyDescent="0.2">
      <c r="A228" s="389"/>
      <c r="B228" s="394" t="s">
        <v>265</v>
      </c>
      <c r="C228" s="234" t="s">
        <v>342</v>
      </c>
      <c r="D228" s="242" t="s">
        <v>109</v>
      </c>
      <c r="E228" s="234" t="s">
        <v>15</v>
      </c>
      <c r="F228" s="301">
        <f>F1*(12*(1.014*1.012*1.015)*1.1/1.18)*1.028</f>
        <v>12.259066341990263</v>
      </c>
      <c r="H228" s="43"/>
      <c r="I228" s="24"/>
      <c r="J228" s="24"/>
      <c r="K228" s="24"/>
      <c r="L228" s="25"/>
      <c r="M228" s="82">
        <f t="shared" si="393"/>
        <v>0</v>
      </c>
      <c r="N228" s="198">
        <v>1</v>
      </c>
      <c r="O228" s="245">
        <f t="shared" si="381"/>
        <v>0</v>
      </c>
      <c r="P228" s="379"/>
      <c r="Q228" s="376"/>
      <c r="R228" s="376"/>
      <c r="S228" s="376"/>
      <c r="T228" s="376"/>
      <c r="U228" s="376"/>
      <c r="V228" s="373"/>
      <c r="W228" s="245">
        <f t="shared" si="394"/>
        <v>0</v>
      </c>
      <c r="Y228" s="43"/>
      <c r="Z228" s="24"/>
      <c r="AA228" s="24"/>
      <c r="AB228" s="24"/>
      <c r="AC228" s="25"/>
      <c r="AD228" s="82">
        <f t="shared" si="395"/>
        <v>0</v>
      </c>
      <c r="AE228" s="198">
        <v>1</v>
      </c>
      <c r="AF228" s="245">
        <f t="shared" si="383"/>
        <v>0</v>
      </c>
      <c r="AG228" s="379"/>
      <c r="AH228" s="376"/>
      <c r="AI228" s="376"/>
      <c r="AJ228" s="376"/>
      <c r="AK228" s="376"/>
      <c r="AL228" s="376"/>
      <c r="AM228" s="373"/>
      <c r="AN228" s="245">
        <f t="shared" si="396"/>
        <v>0</v>
      </c>
      <c r="AP228" s="43"/>
      <c r="AQ228" s="24"/>
      <c r="AR228" s="24"/>
      <c r="AS228" s="24"/>
      <c r="AT228" s="25"/>
      <c r="AU228" s="82">
        <f t="shared" si="397"/>
        <v>0</v>
      </c>
      <c r="AV228" s="198">
        <v>1</v>
      </c>
      <c r="AW228" s="245">
        <f t="shared" si="385"/>
        <v>0</v>
      </c>
      <c r="AX228" s="379"/>
      <c r="AY228" s="376"/>
      <c r="AZ228" s="376"/>
      <c r="BA228" s="376"/>
      <c r="BB228" s="376"/>
      <c r="BC228" s="376"/>
      <c r="BD228" s="373"/>
      <c r="BE228" s="245">
        <f t="shared" si="398"/>
        <v>0</v>
      </c>
      <c r="BG228" s="43"/>
      <c r="BH228" s="24"/>
      <c r="BI228" s="24"/>
      <c r="BJ228" s="24"/>
      <c r="BK228" s="25"/>
      <c r="BL228" s="82">
        <f t="shared" si="399"/>
        <v>0</v>
      </c>
      <c r="BM228" s="198">
        <v>1</v>
      </c>
      <c r="BN228" s="245">
        <f t="shared" si="387"/>
        <v>0</v>
      </c>
      <c r="BO228" s="379"/>
      <c r="BP228" s="376"/>
      <c r="BQ228" s="376"/>
      <c r="BR228" s="376"/>
      <c r="BS228" s="376"/>
      <c r="BT228" s="376"/>
      <c r="BU228" s="373"/>
      <c r="BV228" s="245">
        <f t="shared" si="400"/>
        <v>0</v>
      </c>
      <c r="BX228" s="43"/>
      <c r="BY228" s="24"/>
      <c r="BZ228" s="24"/>
      <c r="CA228" s="24"/>
      <c r="CB228" s="25"/>
      <c r="CC228" s="82">
        <f t="shared" si="401"/>
        <v>0</v>
      </c>
      <c r="CD228" s="198">
        <v>1</v>
      </c>
      <c r="CE228" s="245">
        <f t="shared" si="389"/>
        <v>0</v>
      </c>
      <c r="CF228" s="379"/>
      <c r="CG228" s="376"/>
      <c r="CH228" s="376"/>
      <c r="CI228" s="376"/>
      <c r="CJ228" s="376"/>
      <c r="CK228" s="376"/>
      <c r="CL228" s="373"/>
      <c r="CM228" s="245">
        <f t="shared" si="402"/>
        <v>0</v>
      </c>
      <c r="CN228" s="39"/>
      <c r="CO228" s="3"/>
      <c r="CP228" s="75">
        <f t="shared" si="391"/>
        <v>0</v>
      </c>
      <c r="CQ228" s="3"/>
      <c r="CR228" s="76">
        <f t="shared" si="392"/>
        <v>0</v>
      </c>
      <c r="CT228" s="76">
        <f t="shared" si="315"/>
        <v>0</v>
      </c>
    </row>
    <row r="229" spans="1:98" ht="15" customHeight="1" x14ac:dyDescent="0.2">
      <c r="A229" s="389"/>
      <c r="B229" s="395"/>
      <c r="C229" s="234" t="s">
        <v>343</v>
      </c>
      <c r="D229" s="242" t="s">
        <v>110</v>
      </c>
      <c r="E229" s="234" t="s">
        <v>15</v>
      </c>
      <c r="F229" s="301">
        <f>F1*(6*(1.014*1.012*1.015)*1.1/1.18)*1.028</f>
        <v>6.1295331709951313</v>
      </c>
      <c r="H229" s="43"/>
      <c r="I229" s="24"/>
      <c r="J229" s="24"/>
      <c r="K229" s="24"/>
      <c r="L229" s="25"/>
      <c r="M229" s="82">
        <f t="shared" si="393"/>
        <v>0</v>
      </c>
      <c r="N229" s="198">
        <v>1</v>
      </c>
      <c r="O229" s="245">
        <f t="shared" si="381"/>
        <v>0</v>
      </c>
      <c r="P229" s="379"/>
      <c r="Q229" s="376"/>
      <c r="R229" s="376"/>
      <c r="S229" s="376"/>
      <c r="T229" s="376"/>
      <c r="U229" s="376"/>
      <c r="V229" s="373"/>
      <c r="W229" s="245">
        <f t="shared" si="394"/>
        <v>0</v>
      </c>
      <c r="Y229" s="43">
        <v>4.5</v>
      </c>
      <c r="Z229" s="24"/>
      <c r="AA229" s="24"/>
      <c r="AB229" s="24"/>
      <c r="AC229" s="25"/>
      <c r="AD229" s="82">
        <f t="shared" si="395"/>
        <v>4.5</v>
      </c>
      <c r="AE229" s="198">
        <v>1</v>
      </c>
      <c r="AF229" s="245">
        <f t="shared" si="383"/>
        <v>27.582899269478091</v>
      </c>
      <c r="AG229" s="379"/>
      <c r="AH229" s="376"/>
      <c r="AI229" s="376"/>
      <c r="AJ229" s="376"/>
      <c r="AK229" s="376"/>
      <c r="AL229" s="376"/>
      <c r="AM229" s="373"/>
      <c r="AN229" s="245">
        <f t="shared" si="396"/>
        <v>37.824909048693009</v>
      </c>
      <c r="AP229" s="43"/>
      <c r="AQ229" s="24"/>
      <c r="AR229" s="24"/>
      <c r="AS229" s="24"/>
      <c r="AT229" s="25"/>
      <c r="AU229" s="82">
        <f t="shared" si="397"/>
        <v>0</v>
      </c>
      <c r="AV229" s="198">
        <v>1</v>
      </c>
      <c r="AW229" s="245">
        <f t="shared" si="385"/>
        <v>0</v>
      </c>
      <c r="AX229" s="379"/>
      <c r="AY229" s="376"/>
      <c r="AZ229" s="376"/>
      <c r="BA229" s="376"/>
      <c r="BB229" s="376"/>
      <c r="BC229" s="376"/>
      <c r="BD229" s="373"/>
      <c r="BE229" s="245">
        <f t="shared" si="398"/>
        <v>0</v>
      </c>
      <c r="BG229" s="43"/>
      <c r="BH229" s="24"/>
      <c r="BI229" s="24"/>
      <c r="BJ229" s="24"/>
      <c r="BK229" s="25"/>
      <c r="BL229" s="82">
        <f t="shared" si="399"/>
        <v>0</v>
      </c>
      <c r="BM229" s="198">
        <v>1</v>
      </c>
      <c r="BN229" s="245">
        <f t="shared" si="387"/>
        <v>0</v>
      </c>
      <c r="BO229" s="379"/>
      <c r="BP229" s="376"/>
      <c r="BQ229" s="376"/>
      <c r="BR229" s="376"/>
      <c r="BS229" s="376"/>
      <c r="BT229" s="376"/>
      <c r="BU229" s="373"/>
      <c r="BV229" s="245">
        <f t="shared" si="400"/>
        <v>0</v>
      </c>
      <c r="BX229" s="43"/>
      <c r="BY229" s="24"/>
      <c r="BZ229" s="24"/>
      <c r="CA229" s="24"/>
      <c r="CB229" s="25"/>
      <c r="CC229" s="82">
        <f t="shared" si="401"/>
        <v>0</v>
      </c>
      <c r="CD229" s="198">
        <v>1</v>
      </c>
      <c r="CE229" s="245">
        <f t="shared" si="389"/>
        <v>0</v>
      </c>
      <c r="CF229" s="379"/>
      <c r="CG229" s="376"/>
      <c r="CH229" s="376"/>
      <c r="CI229" s="376"/>
      <c r="CJ229" s="376"/>
      <c r="CK229" s="376"/>
      <c r="CL229" s="373"/>
      <c r="CM229" s="245">
        <f t="shared" si="402"/>
        <v>0</v>
      </c>
      <c r="CN229" s="39"/>
      <c r="CO229" s="3"/>
      <c r="CP229" s="75">
        <f t="shared" si="391"/>
        <v>27.582899269478091</v>
      </c>
      <c r="CQ229" s="3"/>
      <c r="CR229" s="76">
        <f t="shared" si="392"/>
        <v>37.824909048693009</v>
      </c>
      <c r="CT229" s="76">
        <f t="shared" si="315"/>
        <v>4.5</v>
      </c>
    </row>
    <row r="230" spans="1:98" ht="15" customHeight="1" x14ac:dyDescent="0.2">
      <c r="A230" s="389"/>
      <c r="B230" s="395"/>
      <c r="C230" s="234" t="s">
        <v>344</v>
      </c>
      <c r="D230" s="242" t="s">
        <v>111</v>
      </c>
      <c r="E230" s="234" t="s">
        <v>15</v>
      </c>
      <c r="F230" s="301">
        <f>F1*(3*(1.014*1.012*1.015)*1.1/1.18)*1.028</f>
        <v>3.0647665854975656</v>
      </c>
      <c r="H230" s="43"/>
      <c r="I230" s="24"/>
      <c r="J230" s="24"/>
      <c r="K230" s="24"/>
      <c r="L230" s="25"/>
      <c r="M230" s="82">
        <f t="shared" si="393"/>
        <v>0</v>
      </c>
      <c r="N230" s="198">
        <v>1</v>
      </c>
      <c r="O230" s="245">
        <f t="shared" si="381"/>
        <v>0</v>
      </c>
      <c r="P230" s="379"/>
      <c r="Q230" s="376"/>
      <c r="R230" s="376"/>
      <c r="S230" s="376"/>
      <c r="T230" s="376"/>
      <c r="U230" s="376"/>
      <c r="V230" s="373"/>
      <c r="W230" s="245">
        <f t="shared" si="394"/>
        <v>0</v>
      </c>
      <c r="Y230" s="43">
        <v>4.5</v>
      </c>
      <c r="Z230" s="24"/>
      <c r="AA230" s="24"/>
      <c r="AB230" s="24"/>
      <c r="AC230" s="25"/>
      <c r="AD230" s="82">
        <f t="shared" si="395"/>
        <v>4.5</v>
      </c>
      <c r="AE230" s="198">
        <v>1</v>
      </c>
      <c r="AF230" s="245">
        <f t="shared" si="383"/>
        <v>13.791449634739045</v>
      </c>
      <c r="AG230" s="379"/>
      <c r="AH230" s="376"/>
      <c r="AI230" s="376"/>
      <c r="AJ230" s="376"/>
      <c r="AK230" s="376"/>
      <c r="AL230" s="376"/>
      <c r="AM230" s="373"/>
      <c r="AN230" s="245">
        <f t="shared" si="396"/>
        <v>18.912454524346504</v>
      </c>
      <c r="AP230" s="43"/>
      <c r="AQ230" s="24"/>
      <c r="AR230" s="24"/>
      <c r="AS230" s="24"/>
      <c r="AT230" s="25"/>
      <c r="AU230" s="82">
        <f t="shared" si="397"/>
        <v>0</v>
      </c>
      <c r="AV230" s="198">
        <v>1</v>
      </c>
      <c r="AW230" s="245">
        <f t="shared" si="385"/>
        <v>0</v>
      </c>
      <c r="AX230" s="379"/>
      <c r="AY230" s="376"/>
      <c r="AZ230" s="376"/>
      <c r="BA230" s="376"/>
      <c r="BB230" s="376"/>
      <c r="BC230" s="376"/>
      <c r="BD230" s="373"/>
      <c r="BE230" s="245">
        <f t="shared" si="398"/>
        <v>0</v>
      </c>
      <c r="BG230" s="43"/>
      <c r="BH230" s="24"/>
      <c r="BI230" s="24"/>
      <c r="BJ230" s="24"/>
      <c r="BK230" s="25"/>
      <c r="BL230" s="82">
        <f t="shared" si="399"/>
        <v>0</v>
      </c>
      <c r="BM230" s="198">
        <v>1</v>
      </c>
      <c r="BN230" s="245">
        <f t="shared" si="387"/>
        <v>0</v>
      </c>
      <c r="BO230" s="379"/>
      <c r="BP230" s="376"/>
      <c r="BQ230" s="376"/>
      <c r="BR230" s="376"/>
      <c r="BS230" s="376"/>
      <c r="BT230" s="376"/>
      <c r="BU230" s="373"/>
      <c r="BV230" s="245">
        <f t="shared" si="400"/>
        <v>0</v>
      </c>
      <c r="BX230" s="43"/>
      <c r="BY230" s="24"/>
      <c r="BZ230" s="24"/>
      <c r="CA230" s="24"/>
      <c r="CB230" s="25"/>
      <c r="CC230" s="82">
        <f t="shared" si="401"/>
        <v>0</v>
      </c>
      <c r="CD230" s="198">
        <v>1</v>
      </c>
      <c r="CE230" s="245">
        <f t="shared" si="389"/>
        <v>0</v>
      </c>
      <c r="CF230" s="379"/>
      <c r="CG230" s="376"/>
      <c r="CH230" s="376"/>
      <c r="CI230" s="376"/>
      <c r="CJ230" s="376"/>
      <c r="CK230" s="376"/>
      <c r="CL230" s="373"/>
      <c r="CM230" s="245">
        <f t="shared" si="402"/>
        <v>0</v>
      </c>
      <c r="CN230" s="39"/>
      <c r="CO230" s="3"/>
      <c r="CP230" s="75">
        <f t="shared" si="391"/>
        <v>13.791449634739045</v>
      </c>
      <c r="CQ230" s="3"/>
      <c r="CR230" s="76">
        <f t="shared" si="392"/>
        <v>18.912454524346504</v>
      </c>
      <c r="CT230" s="76">
        <f t="shared" si="315"/>
        <v>4.5</v>
      </c>
    </row>
    <row r="231" spans="1:98" ht="15" customHeight="1" x14ac:dyDescent="0.2">
      <c r="A231" s="389"/>
      <c r="B231" s="397"/>
      <c r="C231" s="234" t="s">
        <v>501</v>
      </c>
      <c r="D231" s="242" t="s">
        <v>266</v>
      </c>
      <c r="E231" s="234" t="s">
        <v>108</v>
      </c>
      <c r="F231" s="301">
        <f>F1*(0.003*(1.014*1.012*1.015)*1.1/1.18)*1.028</f>
        <v>3.0647665854975658E-3</v>
      </c>
      <c r="H231" s="43"/>
      <c r="I231" s="24"/>
      <c r="J231" s="24"/>
      <c r="K231" s="24"/>
      <c r="L231" s="25"/>
      <c r="M231" s="82">
        <f t="shared" si="393"/>
        <v>0</v>
      </c>
      <c r="N231" s="198">
        <v>1</v>
      </c>
      <c r="O231" s="245">
        <f t="shared" si="381"/>
        <v>0</v>
      </c>
      <c r="P231" s="379"/>
      <c r="Q231" s="376"/>
      <c r="R231" s="376"/>
      <c r="S231" s="376"/>
      <c r="T231" s="376"/>
      <c r="U231" s="376"/>
      <c r="V231" s="373"/>
      <c r="W231" s="245">
        <f t="shared" si="394"/>
        <v>0</v>
      </c>
      <c r="Y231" s="43"/>
      <c r="Z231" s="24"/>
      <c r="AA231" s="24"/>
      <c r="AB231" s="24"/>
      <c r="AC231" s="25"/>
      <c r="AD231" s="82">
        <f t="shared" si="395"/>
        <v>0</v>
      </c>
      <c r="AE231" s="198">
        <v>1</v>
      </c>
      <c r="AF231" s="245">
        <f t="shared" si="383"/>
        <v>0</v>
      </c>
      <c r="AG231" s="379"/>
      <c r="AH231" s="376"/>
      <c r="AI231" s="376"/>
      <c r="AJ231" s="376"/>
      <c r="AK231" s="376"/>
      <c r="AL231" s="376"/>
      <c r="AM231" s="373"/>
      <c r="AN231" s="245">
        <f t="shared" si="396"/>
        <v>0</v>
      </c>
      <c r="AP231" s="43"/>
      <c r="AQ231" s="24"/>
      <c r="AR231" s="24"/>
      <c r="AS231" s="24"/>
      <c r="AT231" s="25"/>
      <c r="AU231" s="82">
        <f t="shared" si="397"/>
        <v>0</v>
      </c>
      <c r="AV231" s="198">
        <v>1</v>
      </c>
      <c r="AW231" s="245">
        <f t="shared" si="385"/>
        <v>0</v>
      </c>
      <c r="AX231" s="379"/>
      <c r="AY231" s="376"/>
      <c r="AZ231" s="376"/>
      <c r="BA231" s="376"/>
      <c r="BB231" s="376"/>
      <c r="BC231" s="376"/>
      <c r="BD231" s="373"/>
      <c r="BE231" s="245">
        <f t="shared" si="398"/>
        <v>0</v>
      </c>
      <c r="BG231" s="43"/>
      <c r="BH231" s="24"/>
      <c r="BI231" s="24"/>
      <c r="BJ231" s="24"/>
      <c r="BK231" s="25"/>
      <c r="BL231" s="82">
        <f t="shared" si="399"/>
        <v>0</v>
      </c>
      <c r="BM231" s="198">
        <v>1</v>
      </c>
      <c r="BN231" s="245">
        <f t="shared" si="387"/>
        <v>0</v>
      </c>
      <c r="BO231" s="379"/>
      <c r="BP231" s="376"/>
      <c r="BQ231" s="376"/>
      <c r="BR231" s="376"/>
      <c r="BS231" s="376"/>
      <c r="BT231" s="376"/>
      <c r="BU231" s="373"/>
      <c r="BV231" s="245">
        <f t="shared" si="400"/>
        <v>0</v>
      </c>
      <c r="BX231" s="43"/>
      <c r="BY231" s="24"/>
      <c r="BZ231" s="24"/>
      <c r="CA231" s="24"/>
      <c r="CB231" s="25"/>
      <c r="CC231" s="82">
        <f t="shared" si="401"/>
        <v>0</v>
      </c>
      <c r="CD231" s="198">
        <v>1</v>
      </c>
      <c r="CE231" s="245">
        <f t="shared" si="389"/>
        <v>0</v>
      </c>
      <c r="CF231" s="379"/>
      <c r="CG231" s="376"/>
      <c r="CH231" s="376"/>
      <c r="CI231" s="376"/>
      <c r="CJ231" s="376"/>
      <c r="CK231" s="376"/>
      <c r="CL231" s="373"/>
      <c r="CM231" s="245">
        <f t="shared" si="402"/>
        <v>0</v>
      </c>
      <c r="CN231" s="39"/>
      <c r="CO231" s="3"/>
      <c r="CP231" s="75">
        <f t="shared" si="391"/>
        <v>0</v>
      </c>
      <c r="CQ231" s="3"/>
      <c r="CR231" s="76">
        <f t="shared" si="392"/>
        <v>0</v>
      </c>
      <c r="CT231" s="76">
        <f t="shared" si="315"/>
        <v>0</v>
      </c>
    </row>
    <row r="232" spans="1:98" ht="15" customHeight="1" x14ac:dyDescent="0.2">
      <c r="A232" s="389"/>
      <c r="B232" s="398" t="s">
        <v>267</v>
      </c>
      <c r="C232" s="234" t="s">
        <v>502</v>
      </c>
      <c r="D232" s="242" t="s">
        <v>112</v>
      </c>
      <c r="E232" s="234" t="s">
        <v>5</v>
      </c>
      <c r="F232" s="301">
        <f>F1*(3.5*(1.014*1.012*1.015)*1.1/1.18)*1.028</f>
        <v>3.5755610164138267</v>
      </c>
      <c r="H232" s="43"/>
      <c r="I232" s="24"/>
      <c r="J232" s="24"/>
      <c r="K232" s="24"/>
      <c r="L232" s="25"/>
      <c r="M232" s="82">
        <f t="shared" si="393"/>
        <v>0</v>
      </c>
      <c r="N232" s="198">
        <v>1</v>
      </c>
      <c r="O232" s="245">
        <f t="shared" si="381"/>
        <v>0</v>
      </c>
      <c r="P232" s="379"/>
      <c r="Q232" s="376"/>
      <c r="R232" s="376"/>
      <c r="S232" s="376"/>
      <c r="T232" s="376"/>
      <c r="U232" s="376"/>
      <c r="V232" s="373"/>
      <c r="W232" s="245">
        <f t="shared" si="394"/>
        <v>0</v>
      </c>
      <c r="Y232" s="43">
        <v>1</v>
      </c>
      <c r="Z232" s="24"/>
      <c r="AA232" s="24"/>
      <c r="AB232" s="24"/>
      <c r="AC232" s="25"/>
      <c r="AD232" s="82">
        <f t="shared" si="395"/>
        <v>1</v>
      </c>
      <c r="AE232" s="198">
        <v>1</v>
      </c>
      <c r="AF232" s="245">
        <f t="shared" si="383"/>
        <v>3.5755610164138267</v>
      </c>
      <c r="AG232" s="379"/>
      <c r="AH232" s="376"/>
      <c r="AI232" s="376"/>
      <c r="AJ232" s="376"/>
      <c r="AK232" s="376"/>
      <c r="AL232" s="376"/>
      <c r="AM232" s="373"/>
      <c r="AN232" s="245">
        <f t="shared" si="396"/>
        <v>4.9032289507565014</v>
      </c>
      <c r="AP232" s="43"/>
      <c r="AQ232" s="24"/>
      <c r="AR232" s="24"/>
      <c r="AS232" s="24"/>
      <c r="AT232" s="25"/>
      <c r="AU232" s="82">
        <f t="shared" si="397"/>
        <v>0</v>
      </c>
      <c r="AV232" s="198">
        <v>1</v>
      </c>
      <c r="AW232" s="245">
        <f t="shared" si="385"/>
        <v>0</v>
      </c>
      <c r="AX232" s="379"/>
      <c r="AY232" s="376"/>
      <c r="AZ232" s="376"/>
      <c r="BA232" s="376"/>
      <c r="BB232" s="376"/>
      <c r="BC232" s="376"/>
      <c r="BD232" s="373"/>
      <c r="BE232" s="245">
        <f t="shared" si="398"/>
        <v>0</v>
      </c>
      <c r="BG232" s="43"/>
      <c r="BH232" s="24"/>
      <c r="BI232" s="24"/>
      <c r="BJ232" s="24"/>
      <c r="BK232" s="25"/>
      <c r="BL232" s="82">
        <f t="shared" si="399"/>
        <v>0</v>
      </c>
      <c r="BM232" s="198">
        <v>1</v>
      </c>
      <c r="BN232" s="245">
        <f t="shared" si="387"/>
        <v>0</v>
      </c>
      <c r="BO232" s="379"/>
      <c r="BP232" s="376"/>
      <c r="BQ232" s="376"/>
      <c r="BR232" s="376"/>
      <c r="BS232" s="376"/>
      <c r="BT232" s="376"/>
      <c r="BU232" s="373"/>
      <c r="BV232" s="245">
        <f t="shared" si="400"/>
        <v>0</v>
      </c>
      <c r="BX232" s="43"/>
      <c r="BY232" s="24"/>
      <c r="BZ232" s="24"/>
      <c r="CA232" s="24"/>
      <c r="CB232" s="25"/>
      <c r="CC232" s="82">
        <f t="shared" si="401"/>
        <v>0</v>
      </c>
      <c r="CD232" s="198">
        <v>1</v>
      </c>
      <c r="CE232" s="245">
        <f t="shared" si="389"/>
        <v>0</v>
      </c>
      <c r="CF232" s="379"/>
      <c r="CG232" s="376"/>
      <c r="CH232" s="376"/>
      <c r="CI232" s="376"/>
      <c r="CJ232" s="376"/>
      <c r="CK232" s="376"/>
      <c r="CL232" s="373"/>
      <c r="CM232" s="245">
        <f t="shared" si="402"/>
        <v>0</v>
      </c>
      <c r="CN232" s="39"/>
      <c r="CO232" s="3"/>
      <c r="CP232" s="75">
        <f t="shared" si="391"/>
        <v>3.5755610164138267</v>
      </c>
      <c r="CQ232" s="3"/>
      <c r="CR232" s="76">
        <f t="shared" si="392"/>
        <v>4.9032289507565014</v>
      </c>
      <c r="CT232" s="76">
        <f t="shared" si="315"/>
        <v>1</v>
      </c>
    </row>
    <row r="233" spans="1:98" ht="15" customHeight="1" x14ac:dyDescent="0.2">
      <c r="A233" s="389"/>
      <c r="B233" s="399"/>
      <c r="C233" s="234" t="s">
        <v>503</v>
      </c>
      <c r="D233" s="242" t="s">
        <v>113</v>
      </c>
      <c r="E233" s="234" t="s">
        <v>15</v>
      </c>
      <c r="F233" s="301">
        <f>F1*(3*(1.014*1.012*1.015)*1.1/1.18)*1.028</f>
        <v>3.0647665854975656</v>
      </c>
      <c r="H233" s="43"/>
      <c r="I233" s="24"/>
      <c r="J233" s="24"/>
      <c r="K233" s="24"/>
      <c r="L233" s="25"/>
      <c r="M233" s="82">
        <f t="shared" si="393"/>
        <v>0</v>
      </c>
      <c r="N233" s="198">
        <v>1</v>
      </c>
      <c r="O233" s="245">
        <f t="shared" si="381"/>
        <v>0</v>
      </c>
      <c r="P233" s="379"/>
      <c r="Q233" s="376"/>
      <c r="R233" s="376"/>
      <c r="S233" s="376"/>
      <c r="T233" s="376"/>
      <c r="U233" s="376"/>
      <c r="V233" s="373"/>
      <c r="W233" s="245">
        <f t="shared" si="394"/>
        <v>0</v>
      </c>
      <c r="Y233" s="43">
        <v>4.5</v>
      </c>
      <c r="Z233" s="24"/>
      <c r="AA233" s="24"/>
      <c r="AB233" s="24"/>
      <c r="AC233" s="25"/>
      <c r="AD233" s="82">
        <f t="shared" si="395"/>
        <v>4.5</v>
      </c>
      <c r="AE233" s="198">
        <v>1</v>
      </c>
      <c r="AF233" s="245">
        <f t="shared" si="383"/>
        <v>13.791449634739045</v>
      </c>
      <c r="AG233" s="379"/>
      <c r="AH233" s="376"/>
      <c r="AI233" s="376"/>
      <c r="AJ233" s="376"/>
      <c r="AK233" s="376"/>
      <c r="AL233" s="376"/>
      <c r="AM233" s="373"/>
      <c r="AN233" s="245">
        <f t="shared" si="396"/>
        <v>18.912454524346504</v>
      </c>
      <c r="AP233" s="43"/>
      <c r="AQ233" s="24"/>
      <c r="AR233" s="24"/>
      <c r="AS233" s="24"/>
      <c r="AT233" s="25"/>
      <c r="AU233" s="82">
        <f t="shared" si="397"/>
        <v>0</v>
      </c>
      <c r="AV233" s="198">
        <v>1</v>
      </c>
      <c r="AW233" s="245">
        <f t="shared" si="385"/>
        <v>0</v>
      </c>
      <c r="AX233" s="379"/>
      <c r="AY233" s="376"/>
      <c r="AZ233" s="376"/>
      <c r="BA233" s="376"/>
      <c r="BB233" s="376"/>
      <c r="BC233" s="376"/>
      <c r="BD233" s="373"/>
      <c r="BE233" s="245">
        <f t="shared" si="398"/>
        <v>0</v>
      </c>
      <c r="BG233" s="43"/>
      <c r="BH233" s="24"/>
      <c r="BI233" s="24"/>
      <c r="BJ233" s="24"/>
      <c r="BK233" s="25"/>
      <c r="BL233" s="82">
        <f t="shared" si="399"/>
        <v>0</v>
      </c>
      <c r="BM233" s="198">
        <v>1</v>
      </c>
      <c r="BN233" s="245">
        <f t="shared" si="387"/>
        <v>0</v>
      </c>
      <c r="BO233" s="379"/>
      <c r="BP233" s="376"/>
      <c r="BQ233" s="376"/>
      <c r="BR233" s="376"/>
      <c r="BS233" s="376"/>
      <c r="BT233" s="376"/>
      <c r="BU233" s="373"/>
      <c r="BV233" s="245">
        <f t="shared" si="400"/>
        <v>0</v>
      </c>
      <c r="BX233" s="43"/>
      <c r="BY233" s="24"/>
      <c r="BZ233" s="24"/>
      <c r="CA233" s="24"/>
      <c r="CB233" s="25"/>
      <c r="CC233" s="82">
        <f t="shared" si="401"/>
        <v>0</v>
      </c>
      <c r="CD233" s="198">
        <v>1</v>
      </c>
      <c r="CE233" s="245">
        <f t="shared" si="389"/>
        <v>0</v>
      </c>
      <c r="CF233" s="379"/>
      <c r="CG233" s="376"/>
      <c r="CH233" s="376"/>
      <c r="CI233" s="376"/>
      <c r="CJ233" s="376"/>
      <c r="CK233" s="376"/>
      <c r="CL233" s="373"/>
      <c r="CM233" s="245">
        <f t="shared" si="402"/>
        <v>0</v>
      </c>
      <c r="CN233" s="39"/>
      <c r="CO233" s="3"/>
      <c r="CP233" s="75">
        <f t="shared" si="391"/>
        <v>13.791449634739045</v>
      </c>
      <c r="CQ233" s="3"/>
      <c r="CR233" s="76">
        <f t="shared" si="392"/>
        <v>18.912454524346504</v>
      </c>
      <c r="CT233" s="76">
        <f t="shared" si="315"/>
        <v>4.5</v>
      </c>
    </row>
    <row r="234" spans="1:98" ht="15" customHeight="1" x14ac:dyDescent="0.2">
      <c r="A234" s="389"/>
      <c r="B234" s="399"/>
      <c r="C234" s="234" t="s">
        <v>504</v>
      </c>
      <c r="D234" s="242" t="s">
        <v>21</v>
      </c>
      <c r="E234" s="234" t="s">
        <v>47</v>
      </c>
      <c r="F234" s="301">
        <f>F1*(0.65*(1.014*1.012*1.015)*1.1/1.18)*1.028</f>
        <v>0.66403276019113944</v>
      </c>
      <c r="H234" s="43"/>
      <c r="I234" s="24"/>
      <c r="J234" s="24"/>
      <c r="K234" s="24"/>
      <c r="L234" s="25"/>
      <c r="M234" s="82">
        <f t="shared" si="393"/>
        <v>0</v>
      </c>
      <c r="N234" s="198">
        <v>1</v>
      </c>
      <c r="O234" s="245">
        <f t="shared" si="381"/>
        <v>0</v>
      </c>
      <c r="P234" s="379"/>
      <c r="Q234" s="376"/>
      <c r="R234" s="376"/>
      <c r="S234" s="376"/>
      <c r="T234" s="376"/>
      <c r="U234" s="376"/>
      <c r="V234" s="373"/>
      <c r="W234" s="245">
        <f t="shared" si="394"/>
        <v>0</v>
      </c>
      <c r="Y234" s="43">
        <v>38</v>
      </c>
      <c r="Z234" s="24"/>
      <c r="AA234" s="24"/>
      <c r="AB234" s="24"/>
      <c r="AC234" s="25"/>
      <c r="AD234" s="82">
        <f t="shared" si="395"/>
        <v>38</v>
      </c>
      <c r="AE234" s="198">
        <v>1</v>
      </c>
      <c r="AF234" s="245">
        <f t="shared" si="383"/>
        <v>25.2332448872633</v>
      </c>
      <c r="AG234" s="379"/>
      <c r="AH234" s="376"/>
      <c r="AI234" s="376"/>
      <c r="AJ234" s="376"/>
      <c r="AK234" s="376"/>
      <c r="AL234" s="376"/>
      <c r="AM234" s="373"/>
      <c r="AN234" s="245">
        <f t="shared" si="396"/>
        <v>34.602787166767321</v>
      </c>
      <c r="AP234" s="43"/>
      <c r="AQ234" s="24"/>
      <c r="AR234" s="24"/>
      <c r="AS234" s="24"/>
      <c r="AT234" s="25"/>
      <c r="AU234" s="82">
        <f t="shared" si="397"/>
        <v>0</v>
      </c>
      <c r="AV234" s="198">
        <v>1</v>
      </c>
      <c r="AW234" s="245">
        <f t="shared" si="385"/>
        <v>0</v>
      </c>
      <c r="AX234" s="379"/>
      <c r="AY234" s="376"/>
      <c r="AZ234" s="376"/>
      <c r="BA234" s="376"/>
      <c r="BB234" s="376"/>
      <c r="BC234" s="376"/>
      <c r="BD234" s="373"/>
      <c r="BE234" s="245">
        <f t="shared" si="398"/>
        <v>0</v>
      </c>
      <c r="BG234" s="43"/>
      <c r="BH234" s="24"/>
      <c r="BI234" s="24"/>
      <c r="BJ234" s="24"/>
      <c r="BK234" s="25"/>
      <c r="BL234" s="82">
        <f t="shared" si="399"/>
        <v>0</v>
      </c>
      <c r="BM234" s="198">
        <v>1</v>
      </c>
      <c r="BN234" s="245">
        <f t="shared" si="387"/>
        <v>0</v>
      </c>
      <c r="BO234" s="379"/>
      <c r="BP234" s="376"/>
      <c r="BQ234" s="376"/>
      <c r="BR234" s="376"/>
      <c r="BS234" s="376"/>
      <c r="BT234" s="376"/>
      <c r="BU234" s="373"/>
      <c r="BV234" s="245">
        <f t="shared" si="400"/>
        <v>0</v>
      </c>
      <c r="BX234" s="43"/>
      <c r="BY234" s="24"/>
      <c r="BZ234" s="24"/>
      <c r="CA234" s="24"/>
      <c r="CB234" s="25"/>
      <c r="CC234" s="82">
        <f t="shared" si="401"/>
        <v>0</v>
      </c>
      <c r="CD234" s="198">
        <v>1</v>
      </c>
      <c r="CE234" s="245">
        <f t="shared" si="389"/>
        <v>0</v>
      </c>
      <c r="CF234" s="379"/>
      <c r="CG234" s="376"/>
      <c r="CH234" s="376"/>
      <c r="CI234" s="376"/>
      <c r="CJ234" s="376"/>
      <c r="CK234" s="376"/>
      <c r="CL234" s="373"/>
      <c r="CM234" s="245">
        <f t="shared" si="402"/>
        <v>0</v>
      </c>
      <c r="CN234" s="39"/>
      <c r="CO234" s="3"/>
      <c r="CP234" s="75">
        <f t="shared" si="391"/>
        <v>25.2332448872633</v>
      </c>
      <c r="CQ234" s="3"/>
      <c r="CR234" s="76">
        <f t="shared" si="392"/>
        <v>34.602787166767321</v>
      </c>
      <c r="CT234" s="76">
        <f t="shared" si="315"/>
        <v>38</v>
      </c>
    </row>
    <row r="235" spans="1:98" ht="15" customHeight="1" x14ac:dyDescent="0.2">
      <c r="A235" s="389"/>
      <c r="B235" s="400"/>
      <c r="C235" s="234" t="s">
        <v>505</v>
      </c>
      <c r="D235" s="242" t="s">
        <v>102</v>
      </c>
      <c r="E235" s="298" t="s">
        <v>268</v>
      </c>
      <c r="F235" s="302">
        <f>F1*(0.37*(1.014*1.012*1.015)*1.1/1.18)*1.028</f>
        <v>0.37798787887803315</v>
      </c>
      <c r="H235" s="43"/>
      <c r="I235" s="24"/>
      <c r="J235" s="24"/>
      <c r="K235" s="24"/>
      <c r="L235" s="25"/>
      <c r="M235" s="82">
        <f t="shared" si="393"/>
        <v>0</v>
      </c>
      <c r="N235" s="198">
        <v>1</v>
      </c>
      <c r="O235" s="245">
        <f t="shared" si="381"/>
        <v>0</v>
      </c>
      <c r="P235" s="379"/>
      <c r="Q235" s="376"/>
      <c r="R235" s="376"/>
      <c r="S235" s="376"/>
      <c r="T235" s="376"/>
      <c r="U235" s="376"/>
      <c r="V235" s="373"/>
      <c r="W235" s="245">
        <f t="shared" si="394"/>
        <v>0</v>
      </c>
      <c r="Y235" s="43">
        <v>20</v>
      </c>
      <c r="Z235" s="24"/>
      <c r="AA235" s="24"/>
      <c r="AB235" s="24"/>
      <c r="AC235" s="25"/>
      <c r="AD235" s="82">
        <f t="shared" si="395"/>
        <v>20</v>
      </c>
      <c r="AE235" s="198">
        <v>1</v>
      </c>
      <c r="AF235" s="245">
        <f t="shared" si="383"/>
        <v>7.5597575775606627</v>
      </c>
      <c r="AG235" s="379"/>
      <c r="AH235" s="376"/>
      <c r="AI235" s="376"/>
      <c r="AJ235" s="376"/>
      <c r="AK235" s="376"/>
      <c r="AL235" s="376"/>
      <c r="AM235" s="373"/>
      <c r="AN235" s="245">
        <f t="shared" si="396"/>
        <v>10.366826924456603</v>
      </c>
      <c r="AP235" s="43"/>
      <c r="AQ235" s="24"/>
      <c r="AR235" s="24"/>
      <c r="AS235" s="24"/>
      <c r="AT235" s="25"/>
      <c r="AU235" s="82">
        <f t="shared" si="397"/>
        <v>0</v>
      </c>
      <c r="AV235" s="198">
        <v>1</v>
      </c>
      <c r="AW235" s="245">
        <f t="shared" si="385"/>
        <v>0</v>
      </c>
      <c r="AX235" s="379"/>
      <c r="AY235" s="376"/>
      <c r="AZ235" s="376"/>
      <c r="BA235" s="376"/>
      <c r="BB235" s="376"/>
      <c r="BC235" s="376"/>
      <c r="BD235" s="373"/>
      <c r="BE235" s="245">
        <f t="shared" si="398"/>
        <v>0</v>
      </c>
      <c r="BG235" s="43"/>
      <c r="BH235" s="24"/>
      <c r="BI235" s="24"/>
      <c r="BJ235" s="24"/>
      <c r="BK235" s="25"/>
      <c r="BL235" s="82">
        <f t="shared" si="399"/>
        <v>0</v>
      </c>
      <c r="BM235" s="198">
        <v>1</v>
      </c>
      <c r="BN235" s="245">
        <f t="shared" si="387"/>
        <v>0</v>
      </c>
      <c r="BO235" s="379"/>
      <c r="BP235" s="376"/>
      <c r="BQ235" s="376"/>
      <c r="BR235" s="376"/>
      <c r="BS235" s="376"/>
      <c r="BT235" s="376"/>
      <c r="BU235" s="373"/>
      <c r="BV235" s="245">
        <f t="shared" si="400"/>
        <v>0</v>
      </c>
      <c r="BX235" s="43"/>
      <c r="BY235" s="24"/>
      <c r="BZ235" s="24"/>
      <c r="CA235" s="24"/>
      <c r="CB235" s="25"/>
      <c r="CC235" s="82">
        <f t="shared" si="401"/>
        <v>0</v>
      </c>
      <c r="CD235" s="198">
        <v>1</v>
      </c>
      <c r="CE235" s="245">
        <f t="shared" si="389"/>
        <v>0</v>
      </c>
      <c r="CF235" s="379"/>
      <c r="CG235" s="376"/>
      <c r="CH235" s="376"/>
      <c r="CI235" s="376"/>
      <c r="CJ235" s="376"/>
      <c r="CK235" s="376"/>
      <c r="CL235" s="373"/>
      <c r="CM235" s="245">
        <f t="shared" si="402"/>
        <v>0</v>
      </c>
      <c r="CN235" s="39"/>
      <c r="CO235" s="3"/>
      <c r="CP235" s="75">
        <f t="shared" si="391"/>
        <v>7.5597575775606627</v>
      </c>
      <c r="CQ235" s="3"/>
      <c r="CR235" s="76">
        <f t="shared" si="392"/>
        <v>10.366826924456603</v>
      </c>
      <c r="CT235" s="76">
        <f t="shared" si="315"/>
        <v>20</v>
      </c>
    </row>
    <row r="236" spans="1:98" ht="15" customHeight="1" x14ac:dyDescent="0.2">
      <c r="A236" s="389"/>
      <c r="B236" s="394" t="s">
        <v>41</v>
      </c>
      <c r="C236" s="234" t="s">
        <v>506</v>
      </c>
      <c r="D236" s="201" t="s">
        <v>357</v>
      </c>
      <c r="E236" s="202"/>
      <c r="F236" s="203"/>
      <c r="H236" s="43"/>
      <c r="I236" s="24"/>
      <c r="J236" s="24"/>
      <c r="K236" s="24"/>
      <c r="L236" s="25"/>
      <c r="M236" s="82">
        <f t="shared" si="393"/>
        <v>0</v>
      </c>
      <c r="N236" s="198">
        <v>1</v>
      </c>
      <c r="O236" s="245">
        <f t="shared" si="381"/>
        <v>0</v>
      </c>
      <c r="P236" s="379"/>
      <c r="Q236" s="376"/>
      <c r="R236" s="376"/>
      <c r="S236" s="376"/>
      <c r="T236" s="376"/>
      <c r="U236" s="376"/>
      <c r="V236" s="373"/>
      <c r="W236" s="245">
        <f t="shared" si="394"/>
        <v>0</v>
      </c>
      <c r="Y236" s="43"/>
      <c r="Z236" s="24"/>
      <c r="AA236" s="24"/>
      <c r="AB236" s="24"/>
      <c r="AC236" s="25"/>
      <c r="AD236" s="82">
        <f t="shared" si="395"/>
        <v>0</v>
      </c>
      <c r="AE236" s="198">
        <v>1</v>
      </c>
      <c r="AF236" s="245">
        <f t="shared" si="383"/>
        <v>0</v>
      </c>
      <c r="AG236" s="379"/>
      <c r="AH236" s="376"/>
      <c r="AI236" s="376"/>
      <c r="AJ236" s="376"/>
      <c r="AK236" s="376"/>
      <c r="AL236" s="376"/>
      <c r="AM236" s="373"/>
      <c r="AN236" s="245">
        <f t="shared" si="396"/>
        <v>0</v>
      </c>
      <c r="AP236" s="43"/>
      <c r="AQ236" s="24"/>
      <c r="AR236" s="24"/>
      <c r="AS236" s="24"/>
      <c r="AT236" s="25"/>
      <c r="AU236" s="82">
        <f t="shared" si="397"/>
        <v>0</v>
      </c>
      <c r="AV236" s="198">
        <v>1</v>
      </c>
      <c r="AW236" s="245">
        <f t="shared" si="385"/>
        <v>0</v>
      </c>
      <c r="AX236" s="379"/>
      <c r="AY236" s="376"/>
      <c r="AZ236" s="376"/>
      <c r="BA236" s="376"/>
      <c r="BB236" s="376"/>
      <c r="BC236" s="376"/>
      <c r="BD236" s="373"/>
      <c r="BE236" s="245">
        <f t="shared" si="398"/>
        <v>0</v>
      </c>
      <c r="BG236" s="43"/>
      <c r="BH236" s="24"/>
      <c r="BI236" s="24"/>
      <c r="BJ236" s="24"/>
      <c r="BK236" s="25"/>
      <c r="BL236" s="82">
        <f t="shared" si="399"/>
        <v>0</v>
      </c>
      <c r="BM236" s="198">
        <v>1</v>
      </c>
      <c r="BN236" s="245">
        <f t="shared" si="387"/>
        <v>0</v>
      </c>
      <c r="BO236" s="379"/>
      <c r="BP236" s="376"/>
      <c r="BQ236" s="376"/>
      <c r="BR236" s="376"/>
      <c r="BS236" s="376"/>
      <c r="BT236" s="376"/>
      <c r="BU236" s="373"/>
      <c r="BV236" s="245">
        <f t="shared" si="400"/>
        <v>0</v>
      </c>
      <c r="BX236" s="43"/>
      <c r="BY236" s="24"/>
      <c r="BZ236" s="24"/>
      <c r="CA236" s="24"/>
      <c r="CB236" s="25"/>
      <c r="CC236" s="82">
        <f t="shared" si="401"/>
        <v>0</v>
      </c>
      <c r="CD236" s="198">
        <v>1</v>
      </c>
      <c r="CE236" s="245">
        <f t="shared" si="389"/>
        <v>0</v>
      </c>
      <c r="CF236" s="379"/>
      <c r="CG236" s="376"/>
      <c r="CH236" s="376"/>
      <c r="CI236" s="376"/>
      <c r="CJ236" s="376"/>
      <c r="CK236" s="376"/>
      <c r="CL236" s="373"/>
      <c r="CM236" s="245">
        <f t="shared" si="402"/>
        <v>0</v>
      </c>
      <c r="CN236" s="39"/>
      <c r="CO236" s="55"/>
      <c r="CP236" s="75">
        <f t="shared" si="391"/>
        <v>0</v>
      </c>
      <c r="CQ236" s="3"/>
      <c r="CR236" s="76">
        <f t="shared" si="392"/>
        <v>0</v>
      </c>
      <c r="CT236" s="76">
        <f t="shared" si="315"/>
        <v>0</v>
      </c>
    </row>
    <row r="237" spans="1:98" ht="15" customHeight="1" x14ac:dyDescent="0.2">
      <c r="A237" s="389"/>
      <c r="B237" s="395"/>
      <c r="C237" s="234" t="s">
        <v>507</v>
      </c>
      <c r="D237" s="201" t="s">
        <v>357</v>
      </c>
      <c r="E237" s="202"/>
      <c r="F237" s="203"/>
      <c r="H237" s="43"/>
      <c r="I237" s="24"/>
      <c r="J237" s="24"/>
      <c r="K237" s="24"/>
      <c r="L237" s="25"/>
      <c r="M237" s="82">
        <f t="shared" si="393"/>
        <v>0</v>
      </c>
      <c r="N237" s="198">
        <v>1</v>
      </c>
      <c r="O237" s="245">
        <f t="shared" si="381"/>
        <v>0</v>
      </c>
      <c r="P237" s="379"/>
      <c r="Q237" s="376"/>
      <c r="R237" s="376"/>
      <c r="S237" s="376"/>
      <c r="T237" s="376"/>
      <c r="U237" s="376"/>
      <c r="V237" s="373"/>
      <c r="W237" s="245">
        <f t="shared" si="394"/>
        <v>0</v>
      </c>
      <c r="Y237" s="43"/>
      <c r="Z237" s="24"/>
      <c r="AA237" s="24"/>
      <c r="AB237" s="24"/>
      <c r="AC237" s="25"/>
      <c r="AD237" s="82">
        <f t="shared" si="395"/>
        <v>0</v>
      </c>
      <c r="AE237" s="198">
        <v>1</v>
      </c>
      <c r="AF237" s="245">
        <f t="shared" si="383"/>
        <v>0</v>
      </c>
      <c r="AG237" s="379"/>
      <c r="AH237" s="376"/>
      <c r="AI237" s="376"/>
      <c r="AJ237" s="376"/>
      <c r="AK237" s="376"/>
      <c r="AL237" s="376"/>
      <c r="AM237" s="373"/>
      <c r="AN237" s="245">
        <f t="shared" si="396"/>
        <v>0</v>
      </c>
      <c r="AP237" s="43"/>
      <c r="AQ237" s="24"/>
      <c r="AR237" s="24"/>
      <c r="AS237" s="24"/>
      <c r="AT237" s="25"/>
      <c r="AU237" s="82">
        <f t="shared" si="397"/>
        <v>0</v>
      </c>
      <c r="AV237" s="198">
        <v>1</v>
      </c>
      <c r="AW237" s="245">
        <f t="shared" si="385"/>
        <v>0</v>
      </c>
      <c r="AX237" s="379"/>
      <c r="AY237" s="376"/>
      <c r="AZ237" s="376"/>
      <c r="BA237" s="376"/>
      <c r="BB237" s="376"/>
      <c r="BC237" s="376"/>
      <c r="BD237" s="373"/>
      <c r="BE237" s="245">
        <f t="shared" si="398"/>
        <v>0</v>
      </c>
      <c r="BG237" s="43"/>
      <c r="BH237" s="24"/>
      <c r="BI237" s="24"/>
      <c r="BJ237" s="24"/>
      <c r="BK237" s="25"/>
      <c r="BL237" s="82">
        <f t="shared" si="399"/>
        <v>0</v>
      </c>
      <c r="BM237" s="198">
        <v>1</v>
      </c>
      <c r="BN237" s="245">
        <f t="shared" si="387"/>
        <v>0</v>
      </c>
      <c r="BO237" s="379"/>
      <c r="BP237" s="376"/>
      <c r="BQ237" s="376"/>
      <c r="BR237" s="376"/>
      <c r="BS237" s="376"/>
      <c r="BT237" s="376"/>
      <c r="BU237" s="373"/>
      <c r="BV237" s="245">
        <f t="shared" si="400"/>
        <v>0</v>
      </c>
      <c r="BX237" s="43"/>
      <c r="BY237" s="24"/>
      <c r="BZ237" s="24"/>
      <c r="CA237" s="24"/>
      <c r="CB237" s="25"/>
      <c r="CC237" s="82">
        <f t="shared" si="401"/>
        <v>0</v>
      </c>
      <c r="CD237" s="198">
        <v>1</v>
      </c>
      <c r="CE237" s="245">
        <f t="shared" si="389"/>
        <v>0</v>
      </c>
      <c r="CF237" s="379"/>
      <c r="CG237" s="376"/>
      <c r="CH237" s="376"/>
      <c r="CI237" s="376"/>
      <c r="CJ237" s="376"/>
      <c r="CK237" s="376"/>
      <c r="CL237" s="373"/>
      <c r="CM237" s="245">
        <f t="shared" si="402"/>
        <v>0</v>
      </c>
      <c r="CN237" s="39"/>
      <c r="CO237" s="55"/>
      <c r="CP237" s="75">
        <f t="shared" si="391"/>
        <v>0</v>
      </c>
      <c r="CQ237" s="3"/>
      <c r="CR237" s="76">
        <f t="shared" si="392"/>
        <v>0</v>
      </c>
      <c r="CT237" s="76">
        <f t="shared" si="315"/>
        <v>0</v>
      </c>
    </row>
    <row r="238" spans="1:98" ht="15" customHeight="1" x14ac:dyDescent="0.2">
      <c r="A238" s="389"/>
      <c r="B238" s="395"/>
      <c r="C238" s="234" t="s">
        <v>508</v>
      </c>
      <c r="D238" s="201" t="s">
        <v>357</v>
      </c>
      <c r="E238" s="202"/>
      <c r="F238" s="203"/>
      <c r="H238" s="43"/>
      <c r="I238" s="24"/>
      <c r="J238" s="24"/>
      <c r="K238" s="24"/>
      <c r="L238" s="25"/>
      <c r="M238" s="82">
        <f t="shared" si="393"/>
        <v>0</v>
      </c>
      <c r="N238" s="198">
        <v>1</v>
      </c>
      <c r="O238" s="245">
        <f t="shared" si="381"/>
        <v>0</v>
      </c>
      <c r="P238" s="379"/>
      <c r="Q238" s="376"/>
      <c r="R238" s="376"/>
      <c r="S238" s="376"/>
      <c r="T238" s="376"/>
      <c r="U238" s="376"/>
      <c r="V238" s="373"/>
      <c r="W238" s="245">
        <f t="shared" si="394"/>
        <v>0</v>
      </c>
      <c r="Y238" s="43"/>
      <c r="Z238" s="24"/>
      <c r="AA238" s="24"/>
      <c r="AB238" s="24"/>
      <c r="AC238" s="25"/>
      <c r="AD238" s="82">
        <f t="shared" si="395"/>
        <v>0</v>
      </c>
      <c r="AE238" s="198">
        <v>1</v>
      </c>
      <c r="AF238" s="245">
        <f t="shared" si="383"/>
        <v>0</v>
      </c>
      <c r="AG238" s="379"/>
      <c r="AH238" s="376"/>
      <c r="AI238" s="376"/>
      <c r="AJ238" s="376"/>
      <c r="AK238" s="376"/>
      <c r="AL238" s="376"/>
      <c r="AM238" s="373"/>
      <c r="AN238" s="245">
        <f t="shared" si="396"/>
        <v>0</v>
      </c>
      <c r="AP238" s="43"/>
      <c r="AQ238" s="24"/>
      <c r="AR238" s="24"/>
      <c r="AS238" s="24"/>
      <c r="AT238" s="25"/>
      <c r="AU238" s="82">
        <f t="shared" si="397"/>
        <v>0</v>
      </c>
      <c r="AV238" s="198">
        <v>1</v>
      </c>
      <c r="AW238" s="245">
        <f t="shared" si="385"/>
        <v>0</v>
      </c>
      <c r="AX238" s="379"/>
      <c r="AY238" s="376"/>
      <c r="AZ238" s="376"/>
      <c r="BA238" s="376"/>
      <c r="BB238" s="376"/>
      <c r="BC238" s="376"/>
      <c r="BD238" s="373"/>
      <c r="BE238" s="245">
        <f t="shared" si="398"/>
        <v>0</v>
      </c>
      <c r="BG238" s="43"/>
      <c r="BH238" s="24"/>
      <c r="BI238" s="24"/>
      <c r="BJ238" s="24"/>
      <c r="BK238" s="25"/>
      <c r="BL238" s="82">
        <f t="shared" si="399"/>
        <v>0</v>
      </c>
      <c r="BM238" s="198">
        <v>1</v>
      </c>
      <c r="BN238" s="245">
        <f t="shared" si="387"/>
        <v>0</v>
      </c>
      <c r="BO238" s="379"/>
      <c r="BP238" s="376"/>
      <c r="BQ238" s="376"/>
      <c r="BR238" s="376"/>
      <c r="BS238" s="376"/>
      <c r="BT238" s="376"/>
      <c r="BU238" s="373"/>
      <c r="BV238" s="245">
        <f t="shared" si="400"/>
        <v>0</v>
      </c>
      <c r="BX238" s="43"/>
      <c r="BY238" s="24"/>
      <c r="BZ238" s="24"/>
      <c r="CA238" s="24"/>
      <c r="CB238" s="25"/>
      <c r="CC238" s="82">
        <f t="shared" si="401"/>
        <v>0</v>
      </c>
      <c r="CD238" s="198">
        <v>1</v>
      </c>
      <c r="CE238" s="245">
        <f t="shared" si="389"/>
        <v>0</v>
      </c>
      <c r="CF238" s="379"/>
      <c r="CG238" s="376"/>
      <c r="CH238" s="376"/>
      <c r="CI238" s="376"/>
      <c r="CJ238" s="376"/>
      <c r="CK238" s="376"/>
      <c r="CL238" s="373"/>
      <c r="CM238" s="245">
        <f t="shared" si="402"/>
        <v>0</v>
      </c>
      <c r="CN238" s="39"/>
      <c r="CO238" s="55"/>
      <c r="CP238" s="75">
        <f t="shared" si="391"/>
        <v>0</v>
      </c>
      <c r="CQ238" s="3"/>
      <c r="CR238" s="76">
        <f t="shared" si="392"/>
        <v>0</v>
      </c>
      <c r="CT238" s="76">
        <f t="shared" si="315"/>
        <v>0</v>
      </c>
    </row>
    <row r="239" spans="1:98" ht="15" customHeight="1" x14ac:dyDescent="0.2">
      <c r="A239" s="389"/>
      <c r="B239" s="395"/>
      <c r="C239" s="234" t="s">
        <v>509</v>
      </c>
      <c r="D239" s="204" t="s">
        <v>215</v>
      </c>
      <c r="E239" s="205" t="s">
        <v>10</v>
      </c>
      <c r="F239" s="206"/>
      <c r="H239" s="43"/>
      <c r="I239" s="24"/>
      <c r="J239" s="24"/>
      <c r="K239" s="24"/>
      <c r="L239" s="25"/>
      <c r="M239" s="82"/>
      <c r="N239" s="246"/>
      <c r="O239" s="245">
        <f>SUM(H239:L239)</f>
        <v>0</v>
      </c>
      <c r="P239" s="379"/>
      <c r="Q239" s="376"/>
      <c r="R239" s="376"/>
      <c r="S239" s="376"/>
      <c r="T239" s="376"/>
      <c r="U239" s="376"/>
      <c r="V239" s="373"/>
      <c r="W239" s="245">
        <f t="shared" si="394"/>
        <v>0</v>
      </c>
      <c r="Y239" s="43"/>
      <c r="Z239" s="24"/>
      <c r="AA239" s="24"/>
      <c r="AB239" s="24"/>
      <c r="AC239" s="25"/>
      <c r="AD239" s="82"/>
      <c r="AE239" s="246"/>
      <c r="AF239" s="245">
        <f>SUM(Y239:AC239)</f>
        <v>0</v>
      </c>
      <c r="AG239" s="379"/>
      <c r="AH239" s="376"/>
      <c r="AI239" s="376"/>
      <c r="AJ239" s="376"/>
      <c r="AK239" s="376"/>
      <c r="AL239" s="376"/>
      <c r="AM239" s="373"/>
      <c r="AN239" s="245">
        <f t="shared" si="396"/>
        <v>0</v>
      </c>
      <c r="AP239" s="43"/>
      <c r="AQ239" s="24"/>
      <c r="AR239" s="24"/>
      <c r="AS239" s="24"/>
      <c r="AT239" s="25"/>
      <c r="AU239" s="82"/>
      <c r="AV239" s="246"/>
      <c r="AW239" s="245">
        <f>SUM(AP239:AT239)</f>
        <v>0</v>
      </c>
      <c r="AX239" s="379"/>
      <c r="AY239" s="376"/>
      <c r="AZ239" s="376"/>
      <c r="BA239" s="376"/>
      <c r="BB239" s="376"/>
      <c r="BC239" s="376"/>
      <c r="BD239" s="373"/>
      <c r="BE239" s="245">
        <f t="shared" si="398"/>
        <v>0</v>
      </c>
      <c r="BG239" s="43"/>
      <c r="BH239" s="24"/>
      <c r="BI239" s="24"/>
      <c r="BJ239" s="24"/>
      <c r="BK239" s="25"/>
      <c r="BL239" s="82"/>
      <c r="BM239" s="246"/>
      <c r="BN239" s="245">
        <f>SUM(BG239:BK239)</f>
        <v>0</v>
      </c>
      <c r="BO239" s="379"/>
      <c r="BP239" s="376"/>
      <c r="BQ239" s="376"/>
      <c r="BR239" s="376"/>
      <c r="BS239" s="376"/>
      <c r="BT239" s="376"/>
      <c r="BU239" s="373"/>
      <c r="BV239" s="245">
        <f t="shared" si="400"/>
        <v>0</v>
      </c>
      <c r="BX239" s="43"/>
      <c r="BY239" s="24"/>
      <c r="BZ239" s="24"/>
      <c r="CA239" s="24"/>
      <c r="CB239" s="25"/>
      <c r="CC239" s="82"/>
      <c r="CD239" s="246"/>
      <c r="CE239" s="245">
        <f>SUM(BX239:CB239)</f>
        <v>0</v>
      </c>
      <c r="CF239" s="379"/>
      <c r="CG239" s="376"/>
      <c r="CH239" s="376"/>
      <c r="CI239" s="376"/>
      <c r="CJ239" s="376"/>
      <c r="CK239" s="376"/>
      <c r="CL239" s="373"/>
      <c r="CM239" s="245">
        <f t="shared" si="402"/>
        <v>0</v>
      </c>
      <c r="CN239" s="39"/>
      <c r="CO239" s="55"/>
      <c r="CP239" s="75">
        <f t="shared" si="391"/>
        <v>0</v>
      </c>
      <c r="CQ239" s="3"/>
      <c r="CR239" s="76">
        <f>SUMIF(H$1:CM$1,2,H239:CM239)</f>
        <v>0</v>
      </c>
      <c r="CT239" s="76">
        <f t="shared" si="315"/>
        <v>0</v>
      </c>
    </row>
    <row r="240" spans="1:98" ht="15" customHeight="1" x14ac:dyDescent="0.2">
      <c r="A240" s="389"/>
      <c r="B240" s="395"/>
      <c r="C240" s="234" t="s">
        <v>510</v>
      </c>
      <c r="D240" s="208" t="s">
        <v>215</v>
      </c>
      <c r="E240" s="205" t="s">
        <v>10</v>
      </c>
      <c r="F240" s="206"/>
      <c r="H240" s="43"/>
      <c r="I240" s="24"/>
      <c r="J240" s="24"/>
      <c r="K240" s="24"/>
      <c r="L240" s="25"/>
      <c r="M240" s="82"/>
      <c r="N240" s="246"/>
      <c r="O240" s="245">
        <f>SUM(H240:L240)</f>
        <v>0</v>
      </c>
      <c r="P240" s="380"/>
      <c r="Q240" s="377"/>
      <c r="R240" s="377"/>
      <c r="S240" s="377"/>
      <c r="T240" s="377"/>
      <c r="U240" s="377"/>
      <c r="V240" s="374"/>
      <c r="W240" s="245">
        <f t="shared" si="394"/>
        <v>0</v>
      </c>
      <c r="Y240" s="43"/>
      <c r="Z240" s="24"/>
      <c r="AA240" s="24"/>
      <c r="AB240" s="24"/>
      <c r="AC240" s="25"/>
      <c r="AD240" s="82"/>
      <c r="AE240" s="246"/>
      <c r="AF240" s="245">
        <f>SUM(Y240:AC240)</f>
        <v>0</v>
      </c>
      <c r="AG240" s="380"/>
      <c r="AH240" s="377"/>
      <c r="AI240" s="377"/>
      <c r="AJ240" s="377"/>
      <c r="AK240" s="377"/>
      <c r="AL240" s="377"/>
      <c r="AM240" s="374"/>
      <c r="AN240" s="245">
        <f t="shared" si="396"/>
        <v>0</v>
      </c>
      <c r="AP240" s="43"/>
      <c r="AQ240" s="24"/>
      <c r="AR240" s="24"/>
      <c r="AS240" s="24"/>
      <c r="AT240" s="25"/>
      <c r="AU240" s="82"/>
      <c r="AV240" s="246"/>
      <c r="AW240" s="245">
        <f>SUM(AP240:AT240)</f>
        <v>0</v>
      </c>
      <c r="AX240" s="380"/>
      <c r="AY240" s="377"/>
      <c r="AZ240" s="377"/>
      <c r="BA240" s="377"/>
      <c r="BB240" s="377"/>
      <c r="BC240" s="377"/>
      <c r="BD240" s="374"/>
      <c r="BE240" s="245">
        <f t="shared" si="398"/>
        <v>0</v>
      </c>
      <c r="BG240" s="43"/>
      <c r="BH240" s="24"/>
      <c r="BI240" s="24"/>
      <c r="BJ240" s="24"/>
      <c r="BK240" s="25"/>
      <c r="BL240" s="82"/>
      <c r="BM240" s="246"/>
      <c r="BN240" s="245">
        <f>SUM(BG240:BK240)</f>
        <v>0</v>
      </c>
      <c r="BO240" s="380"/>
      <c r="BP240" s="377"/>
      <c r="BQ240" s="377"/>
      <c r="BR240" s="377"/>
      <c r="BS240" s="377"/>
      <c r="BT240" s="377"/>
      <c r="BU240" s="374"/>
      <c r="BV240" s="245">
        <f t="shared" si="400"/>
        <v>0</v>
      </c>
      <c r="BX240" s="43"/>
      <c r="BY240" s="24"/>
      <c r="BZ240" s="24"/>
      <c r="CA240" s="24"/>
      <c r="CB240" s="25"/>
      <c r="CC240" s="82"/>
      <c r="CD240" s="246"/>
      <c r="CE240" s="245">
        <f>SUM(BX240:CB240)</f>
        <v>0</v>
      </c>
      <c r="CF240" s="380"/>
      <c r="CG240" s="377"/>
      <c r="CH240" s="377"/>
      <c r="CI240" s="377"/>
      <c r="CJ240" s="377"/>
      <c r="CK240" s="377"/>
      <c r="CL240" s="374"/>
      <c r="CM240" s="245">
        <f t="shared" si="402"/>
        <v>0</v>
      </c>
      <c r="CN240" s="39"/>
      <c r="CO240" s="3"/>
      <c r="CP240" s="75">
        <f t="shared" si="391"/>
        <v>0</v>
      </c>
      <c r="CQ240" s="3"/>
      <c r="CR240" s="76">
        <f t="shared" si="392"/>
        <v>0</v>
      </c>
      <c r="CT240" s="76">
        <f t="shared" si="315"/>
        <v>0</v>
      </c>
    </row>
    <row r="241" spans="1:101" ht="15" customHeight="1" thickBot="1" x14ac:dyDescent="0.25">
      <c r="A241" s="390"/>
      <c r="B241" s="223"/>
      <c r="C241" s="224"/>
      <c r="D241" s="225" t="s">
        <v>22</v>
      </c>
      <c r="E241" s="224"/>
      <c r="F241" s="226"/>
      <c r="H241" s="141"/>
      <c r="I241" s="142"/>
      <c r="J241" s="142"/>
      <c r="K241" s="142"/>
      <c r="L241" s="142"/>
      <c r="M241" s="227"/>
      <c r="N241" s="228"/>
      <c r="O241" s="229">
        <f>SUM(O225:O240)</f>
        <v>0</v>
      </c>
      <c r="P241" s="230"/>
      <c r="Q241" s="230"/>
      <c r="R241" s="230"/>
      <c r="S241" s="230"/>
      <c r="T241" s="230"/>
      <c r="U241" s="230"/>
      <c r="V241" s="228"/>
      <c r="W241" s="229">
        <f>SUM(W225:W240)</f>
        <v>0</v>
      </c>
      <c r="Y241" s="141"/>
      <c r="Z241" s="142"/>
      <c r="AA241" s="142"/>
      <c r="AB241" s="142"/>
      <c r="AC241" s="142"/>
      <c r="AD241" s="227"/>
      <c r="AE241" s="228"/>
      <c r="AF241" s="229">
        <f>SUM(AF225:AF240)</f>
        <v>123.7144111679184</v>
      </c>
      <c r="AG241" s="230"/>
      <c r="AH241" s="230"/>
      <c r="AI241" s="230"/>
      <c r="AJ241" s="230"/>
      <c r="AK241" s="230"/>
      <c r="AL241" s="230"/>
      <c r="AM241" s="228"/>
      <c r="AN241" s="229">
        <f>SUM(AN225:AN240)</f>
        <v>169.65172169617495</v>
      </c>
      <c r="AP241" s="141"/>
      <c r="AQ241" s="142"/>
      <c r="AR241" s="142"/>
      <c r="AS241" s="142"/>
      <c r="AT241" s="142"/>
      <c r="AU241" s="227"/>
      <c r="AV241" s="228"/>
      <c r="AW241" s="229">
        <f>SUM(AW225:AW240)</f>
        <v>0</v>
      </c>
      <c r="AX241" s="230"/>
      <c r="AY241" s="230"/>
      <c r="AZ241" s="230"/>
      <c r="BA241" s="230"/>
      <c r="BB241" s="230"/>
      <c r="BC241" s="230"/>
      <c r="BD241" s="228"/>
      <c r="BE241" s="229">
        <f>SUM(BE225:BE240)</f>
        <v>0</v>
      </c>
      <c r="BG241" s="141"/>
      <c r="BH241" s="142"/>
      <c r="BI241" s="142"/>
      <c r="BJ241" s="142"/>
      <c r="BK241" s="142"/>
      <c r="BL241" s="227"/>
      <c r="BM241" s="228"/>
      <c r="BN241" s="229">
        <f>SUM(BN225:BN240)</f>
        <v>0</v>
      </c>
      <c r="BO241" s="230"/>
      <c r="BP241" s="230"/>
      <c r="BQ241" s="230"/>
      <c r="BR241" s="230"/>
      <c r="BS241" s="230"/>
      <c r="BT241" s="230"/>
      <c r="BU241" s="228"/>
      <c r="BV241" s="229">
        <f>SUM(BV225:BV240)</f>
        <v>0</v>
      </c>
      <c r="BX241" s="141"/>
      <c r="BY241" s="142"/>
      <c r="BZ241" s="142"/>
      <c r="CA241" s="142"/>
      <c r="CB241" s="142"/>
      <c r="CC241" s="227"/>
      <c r="CD241" s="228"/>
      <c r="CE241" s="229">
        <f>SUM(CE225:CE240)</f>
        <v>0</v>
      </c>
      <c r="CF241" s="230"/>
      <c r="CG241" s="230"/>
      <c r="CH241" s="230"/>
      <c r="CI241" s="230"/>
      <c r="CJ241" s="230"/>
      <c r="CK241" s="230"/>
      <c r="CL241" s="228"/>
      <c r="CM241" s="229">
        <f>SUM(CM225:CM240)</f>
        <v>0</v>
      </c>
      <c r="CN241" s="39"/>
      <c r="CO241" s="3"/>
      <c r="CP241" s="217">
        <f>SUM(CP225:CP240)</f>
        <v>123.7144111679184</v>
      </c>
      <c r="CQ241" s="3"/>
      <c r="CR241" s="217">
        <f>SUM(CR225:CR240)</f>
        <v>169.65172169617495</v>
      </c>
      <c r="CT241" s="217"/>
    </row>
    <row r="242" spans="1:101" ht="6.95" customHeight="1" thickBot="1" x14ac:dyDescent="0.25">
      <c r="A242" s="259"/>
      <c r="B242" s="87"/>
      <c r="C242" s="260"/>
      <c r="D242" s="87"/>
      <c r="E242" s="261"/>
      <c r="F242" s="87"/>
      <c r="H242" s="87"/>
      <c r="I242" s="87"/>
      <c r="J242" s="87"/>
      <c r="K242" s="87"/>
      <c r="L242" s="87"/>
      <c r="M242" s="87"/>
      <c r="N242" s="87"/>
      <c r="O242" s="90"/>
      <c r="P242" s="87"/>
      <c r="Q242" s="87"/>
      <c r="R242" s="87"/>
      <c r="S242" s="87"/>
      <c r="T242" s="87"/>
      <c r="U242" s="87"/>
      <c r="V242" s="87"/>
      <c r="W242" s="90"/>
      <c r="Y242" s="87"/>
      <c r="Z242" s="87"/>
      <c r="AA242" s="87"/>
      <c r="AB242" s="87"/>
      <c r="AC242" s="87"/>
      <c r="AD242" s="87"/>
      <c r="AE242" s="87"/>
      <c r="AF242" s="90"/>
      <c r="AG242" s="87"/>
      <c r="AH242" s="87"/>
      <c r="AI242" s="87"/>
      <c r="AJ242" s="87"/>
      <c r="AK242" s="87"/>
      <c r="AL242" s="87"/>
      <c r="AM242" s="87"/>
      <c r="AN242" s="90"/>
      <c r="AP242" s="87"/>
      <c r="AQ242" s="87"/>
      <c r="AR242" s="87"/>
      <c r="AS242" s="87"/>
      <c r="AT242" s="87"/>
      <c r="AU242" s="87"/>
      <c r="AV242" s="87"/>
      <c r="AW242" s="90"/>
      <c r="AX242" s="87"/>
      <c r="AY242" s="87"/>
      <c r="AZ242" s="87"/>
      <c r="BA242" s="87"/>
      <c r="BB242" s="87"/>
      <c r="BC242" s="87"/>
      <c r="BD242" s="87"/>
      <c r="BE242" s="90"/>
      <c r="BG242" s="87"/>
      <c r="BH242" s="87"/>
      <c r="BI242" s="87"/>
      <c r="BJ242" s="87"/>
      <c r="BK242" s="87"/>
      <c r="BL242" s="87"/>
      <c r="BM242" s="87"/>
      <c r="BN242" s="90"/>
      <c r="BO242" s="87"/>
      <c r="BP242" s="87"/>
      <c r="BQ242" s="87"/>
      <c r="BR242" s="87"/>
      <c r="BS242" s="87"/>
      <c r="BT242" s="87"/>
      <c r="BU242" s="87"/>
      <c r="BV242" s="90"/>
      <c r="BX242" s="87"/>
      <c r="BY242" s="87"/>
      <c r="BZ242" s="87"/>
      <c r="CA242" s="87"/>
      <c r="CB242" s="87"/>
      <c r="CC242" s="87"/>
      <c r="CD242" s="87"/>
      <c r="CE242" s="90"/>
      <c r="CF242" s="87"/>
      <c r="CG242" s="87"/>
      <c r="CH242" s="87"/>
      <c r="CI242" s="87"/>
      <c r="CJ242" s="87"/>
      <c r="CK242" s="87"/>
      <c r="CL242" s="87"/>
      <c r="CM242" s="90"/>
      <c r="CN242" s="39"/>
      <c r="CO242" s="3"/>
      <c r="CP242" s="91"/>
      <c r="CQ242" s="3"/>
      <c r="CR242" s="91"/>
      <c r="CT242" s="91"/>
    </row>
    <row r="243" spans="1:101" ht="15" customHeight="1" x14ac:dyDescent="0.2">
      <c r="A243" s="385" t="s">
        <v>326</v>
      </c>
      <c r="B243" s="408" t="s">
        <v>324</v>
      </c>
      <c r="C243" s="102" t="s">
        <v>345</v>
      </c>
      <c r="D243" s="305" t="s">
        <v>352</v>
      </c>
      <c r="E243" s="102" t="s">
        <v>122</v>
      </c>
      <c r="F243" s="319">
        <v>1</v>
      </c>
      <c r="H243" s="41"/>
      <c r="I243" s="46"/>
      <c r="J243" s="46"/>
      <c r="K243" s="46"/>
      <c r="L243" s="47"/>
      <c r="M243" s="262">
        <f>SUM(H243:L243)</f>
        <v>0</v>
      </c>
      <c r="N243" s="195">
        <v>1</v>
      </c>
      <c r="O243" s="263">
        <f>$F243*M243*N243</f>
        <v>0</v>
      </c>
      <c r="P243" s="264"/>
      <c r="Q243" s="264"/>
      <c r="R243" s="264"/>
      <c r="S243" s="264"/>
      <c r="T243" s="264"/>
      <c r="U243" s="264"/>
      <c r="V243" s="195">
        <v>1</v>
      </c>
      <c r="W243" s="263">
        <f>$O243*V243</f>
        <v>0</v>
      </c>
      <c r="Y243" s="41"/>
      <c r="Z243" s="46"/>
      <c r="AA243" s="46"/>
      <c r="AB243" s="46"/>
      <c r="AC243" s="47"/>
      <c r="AD243" s="262">
        <f>SUM(Y243:AC243)</f>
        <v>0</v>
      </c>
      <c r="AE243" s="195">
        <v>1</v>
      </c>
      <c r="AF243" s="263">
        <f>$F243*AD243*AE243</f>
        <v>0</v>
      </c>
      <c r="AG243" s="264"/>
      <c r="AH243" s="264"/>
      <c r="AI243" s="264"/>
      <c r="AJ243" s="264"/>
      <c r="AK243" s="264"/>
      <c r="AL243" s="264"/>
      <c r="AM243" s="195">
        <v>1</v>
      </c>
      <c r="AN243" s="263">
        <f>AF243*AM243</f>
        <v>0</v>
      </c>
      <c r="AP243" s="41"/>
      <c r="AQ243" s="46"/>
      <c r="AR243" s="46"/>
      <c r="AS243" s="46"/>
      <c r="AT243" s="47"/>
      <c r="AU243" s="262">
        <f>SUM(AP243:AT243)</f>
        <v>0</v>
      </c>
      <c r="AV243" s="195">
        <v>1</v>
      </c>
      <c r="AW243" s="263">
        <f>$F243*AU243*AV243</f>
        <v>0</v>
      </c>
      <c r="AX243" s="264"/>
      <c r="AY243" s="264"/>
      <c r="AZ243" s="264"/>
      <c r="BA243" s="264"/>
      <c r="BB243" s="264"/>
      <c r="BC243" s="264"/>
      <c r="BD243" s="195">
        <v>1</v>
      </c>
      <c r="BE243" s="263">
        <f>AW243*BD243</f>
        <v>0</v>
      </c>
      <c r="BG243" s="41"/>
      <c r="BH243" s="46"/>
      <c r="BI243" s="46"/>
      <c r="BJ243" s="46"/>
      <c r="BK243" s="47"/>
      <c r="BL243" s="262">
        <f>SUM(BG243:BK243)</f>
        <v>0</v>
      </c>
      <c r="BM243" s="195">
        <v>1</v>
      </c>
      <c r="BN243" s="263">
        <f>$F243*BL243*BM243</f>
        <v>0</v>
      </c>
      <c r="BO243" s="264"/>
      <c r="BP243" s="264"/>
      <c r="BQ243" s="264"/>
      <c r="BR243" s="264"/>
      <c r="BS243" s="264"/>
      <c r="BT243" s="264"/>
      <c r="BU243" s="195">
        <v>1</v>
      </c>
      <c r="BV243" s="263">
        <f>BN243*BU243</f>
        <v>0</v>
      </c>
      <c r="BX243" s="41"/>
      <c r="BY243" s="46"/>
      <c r="BZ243" s="46"/>
      <c r="CA243" s="46"/>
      <c r="CB243" s="47"/>
      <c r="CC243" s="262">
        <f>SUM(BX243:CB243)</f>
        <v>0</v>
      </c>
      <c r="CD243" s="195">
        <v>1</v>
      </c>
      <c r="CE243" s="263">
        <f>$F243*CC243*CD243</f>
        <v>0</v>
      </c>
      <c r="CF243" s="264"/>
      <c r="CG243" s="264"/>
      <c r="CH243" s="264"/>
      <c r="CI243" s="264"/>
      <c r="CJ243" s="264"/>
      <c r="CK243" s="264"/>
      <c r="CL243" s="195">
        <v>1</v>
      </c>
      <c r="CM243" s="263">
        <f>CE243*CL243</f>
        <v>0</v>
      </c>
      <c r="CN243" s="39"/>
      <c r="CO243" s="63"/>
      <c r="CP243" s="265">
        <f t="shared" ref="CP243:CP256" si="403">O243+AF243+AW243+BN243+CE243</f>
        <v>0</v>
      </c>
      <c r="CQ243" s="3"/>
      <c r="CR243" s="265">
        <f t="shared" ref="CR243:CR256" si="404">W243+AN243+BE243+BV243+CM243</f>
        <v>0</v>
      </c>
      <c r="CT243" s="265"/>
    </row>
    <row r="244" spans="1:101" ht="15" customHeight="1" x14ac:dyDescent="0.2">
      <c r="A244" s="386"/>
      <c r="B244" s="409"/>
      <c r="C244" s="98" t="s">
        <v>511</v>
      </c>
      <c r="D244" s="99" t="s">
        <v>123</v>
      </c>
      <c r="E244" s="98" t="s">
        <v>122</v>
      </c>
      <c r="F244" s="320">
        <f>25</f>
        <v>25</v>
      </c>
      <c r="H244" s="43"/>
      <c r="I244" s="24"/>
      <c r="J244" s="24"/>
      <c r="K244" s="24"/>
      <c r="L244" s="25"/>
      <c r="M244" s="266">
        <f>SUM(H244:L244)</f>
        <v>0</v>
      </c>
      <c r="N244" s="198">
        <v>1</v>
      </c>
      <c r="O244" s="267">
        <f>$F244*M244*N244</f>
        <v>0</v>
      </c>
      <c r="P244" s="268"/>
      <c r="Q244" s="268"/>
      <c r="R244" s="268"/>
      <c r="S244" s="268"/>
      <c r="T244" s="268"/>
      <c r="U244" s="268"/>
      <c r="V244" s="198">
        <v>1</v>
      </c>
      <c r="W244" s="267">
        <f t="shared" ref="W244:W255" si="405">$O244*V244</f>
        <v>0</v>
      </c>
      <c r="Y244" s="43"/>
      <c r="Z244" s="24"/>
      <c r="AA244" s="24"/>
      <c r="AB244" s="24"/>
      <c r="AC244" s="25"/>
      <c r="AD244" s="266">
        <f>SUM(Y244:AC244)</f>
        <v>0</v>
      </c>
      <c r="AE244" s="198">
        <v>1</v>
      </c>
      <c r="AF244" s="267">
        <f>$F244*AD244*AE244</f>
        <v>0</v>
      </c>
      <c r="AG244" s="268"/>
      <c r="AH244" s="268"/>
      <c r="AI244" s="268"/>
      <c r="AJ244" s="268"/>
      <c r="AK244" s="268"/>
      <c r="AL244" s="268"/>
      <c r="AM244" s="198">
        <v>1</v>
      </c>
      <c r="AN244" s="267">
        <f>AF244*AM244</f>
        <v>0</v>
      </c>
      <c r="AP244" s="43"/>
      <c r="AQ244" s="24"/>
      <c r="AR244" s="24"/>
      <c r="AS244" s="24"/>
      <c r="AT244" s="25"/>
      <c r="AU244" s="266">
        <f>SUM(AP244:AT244)</f>
        <v>0</v>
      </c>
      <c r="AV244" s="198">
        <v>1</v>
      </c>
      <c r="AW244" s="267">
        <f>$F244*AU244*AV244</f>
        <v>0</v>
      </c>
      <c r="AX244" s="268"/>
      <c r="AY244" s="268"/>
      <c r="AZ244" s="268"/>
      <c r="BA244" s="268"/>
      <c r="BB244" s="268"/>
      <c r="BC244" s="268"/>
      <c r="BD244" s="198">
        <v>1</v>
      </c>
      <c r="BE244" s="267">
        <f>AW244*BD244</f>
        <v>0</v>
      </c>
      <c r="BG244" s="43"/>
      <c r="BH244" s="24"/>
      <c r="BI244" s="24"/>
      <c r="BJ244" s="24"/>
      <c r="BK244" s="25"/>
      <c r="BL244" s="266">
        <f>SUM(BG244:BK244)</f>
        <v>0</v>
      </c>
      <c r="BM244" s="198">
        <v>1</v>
      </c>
      <c r="BN244" s="267">
        <f>$F244*BL244*BM244</f>
        <v>0</v>
      </c>
      <c r="BO244" s="268"/>
      <c r="BP244" s="268"/>
      <c r="BQ244" s="268"/>
      <c r="BR244" s="268"/>
      <c r="BS244" s="268"/>
      <c r="BT244" s="268"/>
      <c r="BU244" s="198">
        <v>1</v>
      </c>
      <c r="BV244" s="267">
        <f>BN244*BU244</f>
        <v>0</v>
      </c>
      <c r="BX244" s="43"/>
      <c r="BY244" s="24"/>
      <c r="BZ244" s="24"/>
      <c r="CA244" s="24"/>
      <c r="CB244" s="25"/>
      <c r="CC244" s="266">
        <f>SUM(BX244:CB244)</f>
        <v>0</v>
      </c>
      <c r="CD244" s="198">
        <v>1</v>
      </c>
      <c r="CE244" s="267">
        <f>$F244*CC244*CD244</f>
        <v>0</v>
      </c>
      <c r="CF244" s="268"/>
      <c r="CG244" s="268"/>
      <c r="CH244" s="268"/>
      <c r="CI244" s="268"/>
      <c r="CJ244" s="268"/>
      <c r="CK244" s="268"/>
      <c r="CL244" s="198">
        <v>1</v>
      </c>
      <c r="CM244" s="267">
        <f>CE244*CL244</f>
        <v>0</v>
      </c>
      <c r="CN244" s="39"/>
      <c r="CO244" s="63"/>
      <c r="CP244" s="269">
        <f t="shared" si="403"/>
        <v>0</v>
      </c>
      <c r="CQ244" s="3"/>
      <c r="CR244" s="269">
        <f t="shared" si="404"/>
        <v>0</v>
      </c>
      <c r="CS244" s="28"/>
      <c r="CT244" s="269"/>
      <c r="CU244" s="28"/>
      <c r="CV244" s="28"/>
      <c r="CW244" s="28"/>
    </row>
    <row r="245" spans="1:101" ht="15" customHeight="1" x14ac:dyDescent="0.2">
      <c r="A245" s="386"/>
      <c r="B245" s="409"/>
      <c r="C245" s="98" t="s">
        <v>512</v>
      </c>
      <c r="D245" s="99" t="s">
        <v>124</v>
      </c>
      <c r="E245" s="98" t="s">
        <v>122</v>
      </c>
      <c r="F245" s="320">
        <f>7.5</f>
        <v>7.5</v>
      </c>
      <c r="H245" s="43"/>
      <c r="I245" s="24"/>
      <c r="J245" s="24"/>
      <c r="K245" s="24"/>
      <c r="L245" s="25"/>
      <c r="M245" s="266">
        <f>SUM(H245:L245)</f>
        <v>0</v>
      </c>
      <c r="N245" s="198">
        <v>1</v>
      </c>
      <c r="O245" s="267">
        <f>$F245*M245*N245</f>
        <v>0</v>
      </c>
      <c r="P245" s="268"/>
      <c r="Q245" s="268"/>
      <c r="R245" s="268"/>
      <c r="S245" s="268"/>
      <c r="T245" s="268"/>
      <c r="U245" s="268"/>
      <c r="V245" s="198">
        <v>1</v>
      </c>
      <c r="W245" s="267">
        <f t="shared" si="405"/>
        <v>0</v>
      </c>
      <c r="Y245" s="43"/>
      <c r="Z245" s="24"/>
      <c r="AA245" s="24"/>
      <c r="AB245" s="24"/>
      <c r="AC245" s="25"/>
      <c r="AD245" s="266">
        <f>SUM(Y245:AC245)</f>
        <v>0</v>
      </c>
      <c r="AE245" s="198">
        <v>1</v>
      </c>
      <c r="AF245" s="267">
        <f>$F245*AD245*AE245</f>
        <v>0</v>
      </c>
      <c r="AG245" s="268"/>
      <c r="AH245" s="268"/>
      <c r="AI245" s="268"/>
      <c r="AJ245" s="268"/>
      <c r="AK245" s="268"/>
      <c r="AL245" s="268"/>
      <c r="AM245" s="198">
        <v>1</v>
      </c>
      <c r="AN245" s="267">
        <f t="shared" ref="AN245:AN255" si="406">AF245*AM245</f>
        <v>0</v>
      </c>
      <c r="AP245" s="43"/>
      <c r="AQ245" s="24"/>
      <c r="AR245" s="24"/>
      <c r="AS245" s="24"/>
      <c r="AT245" s="25"/>
      <c r="AU245" s="266">
        <f>SUM(AP245:AT245)</f>
        <v>0</v>
      </c>
      <c r="AV245" s="198">
        <v>1</v>
      </c>
      <c r="AW245" s="267">
        <f>$F245*AU245*AV245</f>
        <v>0</v>
      </c>
      <c r="AX245" s="268"/>
      <c r="AY245" s="268"/>
      <c r="AZ245" s="268"/>
      <c r="BA245" s="268"/>
      <c r="BB245" s="268"/>
      <c r="BC245" s="268"/>
      <c r="BD245" s="198">
        <v>1</v>
      </c>
      <c r="BE245" s="267">
        <f t="shared" ref="BE245:BE249" si="407">AW245*BD245</f>
        <v>0</v>
      </c>
      <c r="BG245" s="43"/>
      <c r="BH245" s="24"/>
      <c r="BI245" s="24"/>
      <c r="BJ245" s="24"/>
      <c r="BK245" s="25"/>
      <c r="BL245" s="266">
        <f>SUM(BG245:BK245)</f>
        <v>0</v>
      </c>
      <c r="BM245" s="198">
        <v>1</v>
      </c>
      <c r="BN245" s="267">
        <f>$F245*BL245*BM245</f>
        <v>0</v>
      </c>
      <c r="BO245" s="268"/>
      <c r="BP245" s="268"/>
      <c r="BQ245" s="268"/>
      <c r="BR245" s="268"/>
      <c r="BS245" s="268"/>
      <c r="BT245" s="268"/>
      <c r="BU245" s="198">
        <v>1</v>
      </c>
      <c r="BV245" s="267">
        <f t="shared" ref="BV245:BV255" si="408">BN245*BU245</f>
        <v>0</v>
      </c>
      <c r="BX245" s="43"/>
      <c r="BY245" s="24"/>
      <c r="BZ245" s="24"/>
      <c r="CA245" s="24"/>
      <c r="CB245" s="25"/>
      <c r="CC245" s="266">
        <f>SUM(BX245:CB245)</f>
        <v>0</v>
      </c>
      <c r="CD245" s="198">
        <v>1</v>
      </c>
      <c r="CE245" s="267">
        <f>$F245*CC245*CD245</f>
        <v>0</v>
      </c>
      <c r="CF245" s="268"/>
      <c r="CG245" s="268"/>
      <c r="CH245" s="268"/>
      <c r="CI245" s="268"/>
      <c r="CJ245" s="268"/>
      <c r="CK245" s="268"/>
      <c r="CL245" s="198">
        <v>1</v>
      </c>
      <c r="CM245" s="267">
        <f t="shared" ref="CM245:CM255" si="409">CE245*CL245</f>
        <v>0</v>
      </c>
      <c r="CN245" s="39"/>
      <c r="CO245" s="63"/>
      <c r="CP245" s="269">
        <f t="shared" si="403"/>
        <v>0</v>
      </c>
      <c r="CQ245" s="3"/>
      <c r="CR245" s="269">
        <f t="shared" si="404"/>
        <v>0</v>
      </c>
      <c r="CS245" s="28"/>
      <c r="CT245" s="269"/>
      <c r="CU245" s="28"/>
      <c r="CV245" s="28"/>
      <c r="CW245" s="28"/>
    </row>
    <row r="246" spans="1:101" s="4" customFormat="1" ht="15" customHeight="1" x14ac:dyDescent="0.2">
      <c r="A246" s="386"/>
      <c r="B246" s="409"/>
      <c r="C246" s="98" t="s">
        <v>513</v>
      </c>
      <c r="D246" s="99" t="s">
        <v>125</v>
      </c>
      <c r="E246" s="98" t="s">
        <v>122</v>
      </c>
      <c r="F246" s="320">
        <f>1.5</f>
        <v>1.5</v>
      </c>
      <c r="G246" s="1"/>
      <c r="H246" s="43"/>
      <c r="I246" s="24"/>
      <c r="J246" s="24"/>
      <c r="K246" s="24"/>
      <c r="L246" s="25"/>
      <c r="M246" s="266">
        <f>SUM(H246:L246)</f>
        <v>0</v>
      </c>
      <c r="N246" s="198">
        <v>1</v>
      </c>
      <c r="O246" s="267">
        <f>$F246*M246*N246</f>
        <v>0</v>
      </c>
      <c r="P246" s="268"/>
      <c r="Q246" s="268"/>
      <c r="R246" s="268"/>
      <c r="S246" s="268"/>
      <c r="T246" s="268"/>
      <c r="U246" s="268"/>
      <c r="V246" s="198">
        <v>1</v>
      </c>
      <c r="W246" s="267">
        <f t="shared" si="405"/>
        <v>0</v>
      </c>
      <c r="X246" s="1"/>
      <c r="Y246" s="43"/>
      <c r="Z246" s="24"/>
      <c r="AA246" s="24"/>
      <c r="AB246" s="24"/>
      <c r="AC246" s="25"/>
      <c r="AD246" s="266">
        <f>SUM(Y246:AC246)</f>
        <v>0</v>
      </c>
      <c r="AE246" s="198">
        <v>1</v>
      </c>
      <c r="AF246" s="267">
        <f>$F246*AD246*AE246</f>
        <v>0</v>
      </c>
      <c r="AG246" s="268"/>
      <c r="AH246" s="268"/>
      <c r="AI246" s="268"/>
      <c r="AJ246" s="268"/>
      <c r="AK246" s="268"/>
      <c r="AL246" s="268"/>
      <c r="AM246" s="198">
        <v>1</v>
      </c>
      <c r="AN246" s="267">
        <f t="shared" si="406"/>
        <v>0</v>
      </c>
      <c r="AO246" s="1"/>
      <c r="AP246" s="43"/>
      <c r="AQ246" s="24"/>
      <c r="AR246" s="24"/>
      <c r="AS246" s="24"/>
      <c r="AT246" s="25"/>
      <c r="AU246" s="266">
        <f>SUM(AP246:AT246)</f>
        <v>0</v>
      </c>
      <c r="AV246" s="198">
        <v>1</v>
      </c>
      <c r="AW246" s="267">
        <f>$F246*AU246*AV246</f>
        <v>0</v>
      </c>
      <c r="AX246" s="268"/>
      <c r="AY246" s="268"/>
      <c r="AZ246" s="268"/>
      <c r="BA246" s="268"/>
      <c r="BB246" s="268"/>
      <c r="BC246" s="268"/>
      <c r="BD246" s="198">
        <v>1</v>
      </c>
      <c r="BE246" s="267">
        <f t="shared" si="407"/>
        <v>0</v>
      </c>
      <c r="BF246" s="1"/>
      <c r="BG246" s="43"/>
      <c r="BH246" s="24"/>
      <c r="BI246" s="24"/>
      <c r="BJ246" s="24"/>
      <c r="BK246" s="25"/>
      <c r="BL246" s="266">
        <f>SUM(BG246:BK246)</f>
        <v>0</v>
      </c>
      <c r="BM246" s="198">
        <v>1</v>
      </c>
      <c r="BN246" s="267">
        <f>$F246*BL246*BM246</f>
        <v>0</v>
      </c>
      <c r="BO246" s="268"/>
      <c r="BP246" s="268"/>
      <c r="BQ246" s="268"/>
      <c r="BR246" s="268"/>
      <c r="BS246" s="268"/>
      <c r="BT246" s="268"/>
      <c r="BU246" s="198">
        <v>1</v>
      </c>
      <c r="BV246" s="267">
        <f t="shared" si="408"/>
        <v>0</v>
      </c>
      <c r="BW246" s="1"/>
      <c r="BX246" s="43"/>
      <c r="BY246" s="24"/>
      <c r="BZ246" s="24"/>
      <c r="CA246" s="24"/>
      <c r="CB246" s="25"/>
      <c r="CC246" s="266">
        <f>SUM(BX246:CB246)</f>
        <v>0</v>
      </c>
      <c r="CD246" s="198">
        <v>1</v>
      </c>
      <c r="CE246" s="267">
        <f>$F246*CC246*CD246</f>
        <v>0</v>
      </c>
      <c r="CF246" s="268"/>
      <c r="CG246" s="268"/>
      <c r="CH246" s="268"/>
      <c r="CI246" s="268"/>
      <c r="CJ246" s="268"/>
      <c r="CK246" s="268"/>
      <c r="CL246" s="198">
        <v>1</v>
      </c>
      <c r="CM246" s="267">
        <f t="shared" si="409"/>
        <v>0</v>
      </c>
      <c r="CN246" s="39"/>
      <c r="CO246" s="63"/>
      <c r="CP246" s="269">
        <f t="shared" si="403"/>
        <v>0</v>
      </c>
      <c r="CQ246" s="55"/>
      <c r="CR246" s="269">
        <f t="shared" si="404"/>
        <v>0</v>
      </c>
      <c r="CS246" s="294"/>
      <c r="CT246" s="269"/>
      <c r="CU246" s="294"/>
      <c r="CV246" s="294"/>
      <c r="CW246" s="294"/>
    </row>
    <row r="247" spans="1:101" s="4" customFormat="1" ht="15" customHeight="1" x14ac:dyDescent="0.2">
      <c r="A247" s="386"/>
      <c r="B247" s="409"/>
      <c r="C247" s="98" t="s">
        <v>514</v>
      </c>
      <c r="D247" s="80" t="s">
        <v>325</v>
      </c>
      <c r="E247" s="81" t="s">
        <v>10</v>
      </c>
      <c r="F247" s="306"/>
      <c r="G247" s="1"/>
      <c r="H247" s="43"/>
      <c r="I247" s="24"/>
      <c r="J247" s="24"/>
      <c r="K247" s="24"/>
      <c r="L247" s="25"/>
      <c r="M247" s="266"/>
      <c r="N247" s="270"/>
      <c r="O247" s="267">
        <f>SUM(H247:L247)</f>
        <v>0</v>
      </c>
      <c r="P247" s="268"/>
      <c r="Q247" s="268"/>
      <c r="R247" s="268"/>
      <c r="S247" s="268"/>
      <c r="T247" s="268"/>
      <c r="U247" s="268"/>
      <c r="V247" s="270">
        <v>1</v>
      </c>
      <c r="W247" s="267">
        <f t="shared" si="405"/>
        <v>0</v>
      </c>
      <c r="X247" s="1"/>
      <c r="Y247" s="43"/>
      <c r="Z247" s="24"/>
      <c r="AA247" s="24"/>
      <c r="AB247" s="24"/>
      <c r="AC247" s="25"/>
      <c r="AD247" s="266"/>
      <c r="AE247" s="270"/>
      <c r="AF247" s="267">
        <f>SUM(Y247:AC247)</f>
        <v>0</v>
      </c>
      <c r="AG247" s="268"/>
      <c r="AH247" s="268"/>
      <c r="AI247" s="268"/>
      <c r="AJ247" s="268"/>
      <c r="AK247" s="268"/>
      <c r="AL247" s="268"/>
      <c r="AM247" s="270">
        <v>1</v>
      </c>
      <c r="AN247" s="267">
        <f t="shared" si="406"/>
        <v>0</v>
      </c>
      <c r="AO247" s="1"/>
      <c r="AP247" s="43"/>
      <c r="AQ247" s="24"/>
      <c r="AR247" s="24"/>
      <c r="AS247" s="24"/>
      <c r="AT247" s="25"/>
      <c r="AU247" s="266"/>
      <c r="AV247" s="270"/>
      <c r="AW247" s="267">
        <f>SUM(AP247:AT247)</f>
        <v>0</v>
      </c>
      <c r="AX247" s="268"/>
      <c r="AY247" s="268"/>
      <c r="AZ247" s="268"/>
      <c r="BA247" s="268"/>
      <c r="BB247" s="268"/>
      <c r="BC247" s="268"/>
      <c r="BD247" s="270">
        <v>1</v>
      </c>
      <c r="BE247" s="267">
        <f>AW247*BD247</f>
        <v>0</v>
      </c>
      <c r="BF247" s="1"/>
      <c r="BG247" s="43"/>
      <c r="BH247" s="24"/>
      <c r="BI247" s="24"/>
      <c r="BJ247" s="24"/>
      <c r="BK247" s="25"/>
      <c r="BL247" s="266"/>
      <c r="BM247" s="270"/>
      <c r="BN247" s="267">
        <f>SUM(BG247:BK247)</f>
        <v>0</v>
      </c>
      <c r="BO247" s="268"/>
      <c r="BP247" s="268"/>
      <c r="BQ247" s="268"/>
      <c r="BR247" s="268"/>
      <c r="BS247" s="268"/>
      <c r="BT247" s="268"/>
      <c r="BU247" s="270">
        <v>1</v>
      </c>
      <c r="BV247" s="267">
        <f t="shared" si="408"/>
        <v>0</v>
      </c>
      <c r="BW247" s="1"/>
      <c r="BX247" s="43"/>
      <c r="BY247" s="24"/>
      <c r="BZ247" s="24"/>
      <c r="CA247" s="24"/>
      <c r="CB247" s="25"/>
      <c r="CC247" s="266"/>
      <c r="CD247" s="270"/>
      <c r="CE247" s="267">
        <f>SUM(BX247:CB247)</f>
        <v>0</v>
      </c>
      <c r="CF247" s="268"/>
      <c r="CG247" s="268"/>
      <c r="CH247" s="268"/>
      <c r="CI247" s="268"/>
      <c r="CJ247" s="268"/>
      <c r="CK247" s="268"/>
      <c r="CL247" s="270">
        <v>1</v>
      </c>
      <c r="CM247" s="267">
        <f t="shared" si="409"/>
        <v>0</v>
      </c>
      <c r="CN247" s="39"/>
      <c r="CO247" s="63"/>
      <c r="CP247" s="269">
        <f t="shared" si="403"/>
        <v>0</v>
      </c>
      <c r="CQ247" s="55"/>
      <c r="CR247" s="269">
        <f t="shared" si="404"/>
        <v>0</v>
      </c>
      <c r="CS247" s="294"/>
      <c r="CT247" s="269"/>
      <c r="CU247" s="294"/>
      <c r="CV247" s="294"/>
      <c r="CW247" s="294"/>
    </row>
    <row r="248" spans="1:101" s="4" customFormat="1" ht="15" customHeight="1" x14ac:dyDescent="0.2">
      <c r="A248" s="386"/>
      <c r="B248" s="409"/>
      <c r="C248" s="98" t="s">
        <v>515</v>
      </c>
      <c r="D248" s="255" t="s">
        <v>215</v>
      </c>
      <c r="E248" s="205" t="s">
        <v>10</v>
      </c>
      <c r="F248" s="206"/>
      <c r="G248" s="1"/>
      <c r="H248" s="43"/>
      <c r="I248" s="24"/>
      <c r="J248" s="24"/>
      <c r="K248" s="24"/>
      <c r="L248" s="25"/>
      <c r="M248" s="266"/>
      <c r="N248" s="270"/>
      <c r="O248" s="267">
        <f>SUM(H248:L248)</f>
        <v>0</v>
      </c>
      <c r="P248" s="268"/>
      <c r="Q248" s="268"/>
      <c r="R248" s="268"/>
      <c r="S248" s="268"/>
      <c r="T248" s="268"/>
      <c r="U248" s="268"/>
      <c r="V248" s="270">
        <v>1</v>
      </c>
      <c r="W248" s="267">
        <f t="shared" si="405"/>
        <v>0</v>
      </c>
      <c r="X248" s="1"/>
      <c r="Y248" s="43"/>
      <c r="Z248" s="24"/>
      <c r="AA248" s="24"/>
      <c r="AB248" s="24"/>
      <c r="AC248" s="25"/>
      <c r="AD248" s="266"/>
      <c r="AE248" s="270"/>
      <c r="AF248" s="267">
        <f>SUM(Y248:AC248)</f>
        <v>0</v>
      </c>
      <c r="AG248" s="268"/>
      <c r="AH248" s="268"/>
      <c r="AI248" s="268"/>
      <c r="AJ248" s="268"/>
      <c r="AK248" s="268"/>
      <c r="AL248" s="268"/>
      <c r="AM248" s="270">
        <v>1</v>
      </c>
      <c r="AN248" s="267">
        <f t="shared" si="406"/>
        <v>0</v>
      </c>
      <c r="AO248" s="1"/>
      <c r="AP248" s="43"/>
      <c r="AQ248" s="24"/>
      <c r="AR248" s="24"/>
      <c r="AS248" s="24"/>
      <c r="AT248" s="25"/>
      <c r="AU248" s="266"/>
      <c r="AV248" s="270"/>
      <c r="AW248" s="267">
        <f>SUM(AP248:AT248)</f>
        <v>0</v>
      </c>
      <c r="AX248" s="268"/>
      <c r="AY248" s="268"/>
      <c r="AZ248" s="268"/>
      <c r="BA248" s="268"/>
      <c r="BB248" s="268"/>
      <c r="BC248" s="268"/>
      <c r="BD248" s="270">
        <v>1</v>
      </c>
      <c r="BE248" s="267">
        <f t="shared" si="407"/>
        <v>0</v>
      </c>
      <c r="BF248" s="1"/>
      <c r="BG248" s="43"/>
      <c r="BH248" s="24"/>
      <c r="BI248" s="24"/>
      <c r="BJ248" s="24"/>
      <c r="BK248" s="25"/>
      <c r="BL248" s="266"/>
      <c r="BM248" s="270"/>
      <c r="BN248" s="267">
        <f>SUM(BG248:BK248)</f>
        <v>0</v>
      </c>
      <c r="BO248" s="268"/>
      <c r="BP248" s="268"/>
      <c r="BQ248" s="268"/>
      <c r="BR248" s="268"/>
      <c r="BS248" s="268"/>
      <c r="BT248" s="268"/>
      <c r="BU248" s="270">
        <v>1</v>
      </c>
      <c r="BV248" s="267">
        <f t="shared" si="408"/>
        <v>0</v>
      </c>
      <c r="BW248" s="1"/>
      <c r="BX248" s="43"/>
      <c r="BY248" s="24"/>
      <c r="BZ248" s="24"/>
      <c r="CA248" s="24"/>
      <c r="CB248" s="25"/>
      <c r="CC248" s="266"/>
      <c r="CD248" s="270"/>
      <c r="CE248" s="267">
        <f>SUM(BX248:CB248)</f>
        <v>0</v>
      </c>
      <c r="CF248" s="268"/>
      <c r="CG248" s="268"/>
      <c r="CH248" s="268"/>
      <c r="CI248" s="268"/>
      <c r="CJ248" s="268"/>
      <c r="CK248" s="268"/>
      <c r="CL248" s="270">
        <v>1</v>
      </c>
      <c r="CM248" s="267">
        <f t="shared" si="409"/>
        <v>0</v>
      </c>
      <c r="CN248" s="39"/>
      <c r="CO248" s="63"/>
      <c r="CP248" s="269">
        <f t="shared" si="403"/>
        <v>0</v>
      </c>
      <c r="CQ248" s="55"/>
      <c r="CR248" s="269">
        <f t="shared" si="404"/>
        <v>0</v>
      </c>
      <c r="CS248" s="294"/>
      <c r="CT248" s="269"/>
      <c r="CU248" s="294"/>
      <c r="CV248" s="294"/>
      <c r="CW248" s="294"/>
    </row>
    <row r="249" spans="1:101" s="4" customFormat="1" ht="15" customHeight="1" x14ac:dyDescent="0.2">
      <c r="A249" s="386"/>
      <c r="B249" s="409"/>
      <c r="C249" s="98" t="s">
        <v>516</v>
      </c>
      <c r="D249" s="255" t="s">
        <v>215</v>
      </c>
      <c r="E249" s="205" t="s">
        <v>10</v>
      </c>
      <c r="F249" s="206"/>
      <c r="G249" s="1"/>
      <c r="H249" s="43"/>
      <c r="I249" s="24"/>
      <c r="J249" s="24"/>
      <c r="K249" s="24"/>
      <c r="L249" s="25"/>
      <c r="M249" s="266"/>
      <c r="N249" s="270"/>
      <c r="O249" s="267">
        <f>SUM(H249:L249)</f>
        <v>0</v>
      </c>
      <c r="P249" s="268"/>
      <c r="Q249" s="268"/>
      <c r="R249" s="268"/>
      <c r="S249" s="268"/>
      <c r="T249" s="268"/>
      <c r="U249" s="268"/>
      <c r="V249" s="270">
        <v>1</v>
      </c>
      <c r="W249" s="267">
        <f t="shared" si="405"/>
        <v>0</v>
      </c>
      <c r="X249" s="1"/>
      <c r="Y249" s="43"/>
      <c r="Z249" s="24"/>
      <c r="AA249" s="24"/>
      <c r="AB249" s="24"/>
      <c r="AC249" s="25"/>
      <c r="AD249" s="266"/>
      <c r="AE249" s="270"/>
      <c r="AF249" s="267">
        <f>SUM(Y249:AC249)</f>
        <v>0</v>
      </c>
      <c r="AG249" s="268"/>
      <c r="AH249" s="268"/>
      <c r="AI249" s="268"/>
      <c r="AJ249" s="268"/>
      <c r="AK249" s="268"/>
      <c r="AL249" s="268"/>
      <c r="AM249" s="270">
        <v>1</v>
      </c>
      <c r="AN249" s="267">
        <f t="shared" si="406"/>
        <v>0</v>
      </c>
      <c r="AO249" s="1"/>
      <c r="AP249" s="43"/>
      <c r="AQ249" s="24"/>
      <c r="AR249" s="24"/>
      <c r="AS249" s="24"/>
      <c r="AT249" s="25"/>
      <c r="AU249" s="266"/>
      <c r="AV249" s="270"/>
      <c r="AW249" s="267">
        <f>SUM(AP249:AT249)</f>
        <v>0</v>
      </c>
      <c r="AX249" s="268"/>
      <c r="AY249" s="268"/>
      <c r="AZ249" s="268"/>
      <c r="BA249" s="268"/>
      <c r="BB249" s="268"/>
      <c r="BC249" s="268"/>
      <c r="BD249" s="270">
        <v>1</v>
      </c>
      <c r="BE249" s="267">
        <f t="shared" si="407"/>
        <v>0</v>
      </c>
      <c r="BF249" s="1"/>
      <c r="BG249" s="43"/>
      <c r="BH249" s="24"/>
      <c r="BI249" s="24"/>
      <c r="BJ249" s="24"/>
      <c r="BK249" s="25"/>
      <c r="BL249" s="266"/>
      <c r="BM249" s="270"/>
      <c r="BN249" s="267">
        <f>SUM(BG249:BK249)</f>
        <v>0</v>
      </c>
      <c r="BO249" s="268"/>
      <c r="BP249" s="268"/>
      <c r="BQ249" s="268"/>
      <c r="BR249" s="268"/>
      <c r="BS249" s="268"/>
      <c r="BT249" s="268"/>
      <c r="BU249" s="270">
        <v>1</v>
      </c>
      <c r="BV249" s="267">
        <f t="shared" si="408"/>
        <v>0</v>
      </c>
      <c r="BW249" s="1"/>
      <c r="BX249" s="43"/>
      <c r="BY249" s="24"/>
      <c r="BZ249" s="24"/>
      <c r="CA249" s="24"/>
      <c r="CB249" s="25"/>
      <c r="CC249" s="266"/>
      <c r="CD249" s="270"/>
      <c r="CE249" s="267">
        <f>SUM(BX249:CB249)</f>
        <v>0</v>
      </c>
      <c r="CF249" s="268"/>
      <c r="CG249" s="268"/>
      <c r="CH249" s="268"/>
      <c r="CI249" s="268"/>
      <c r="CJ249" s="268"/>
      <c r="CK249" s="268"/>
      <c r="CL249" s="270">
        <v>1</v>
      </c>
      <c r="CM249" s="267">
        <f t="shared" si="409"/>
        <v>0</v>
      </c>
      <c r="CN249" s="39"/>
      <c r="CO249" s="63"/>
      <c r="CP249" s="269">
        <f t="shared" si="403"/>
        <v>0</v>
      </c>
      <c r="CQ249" s="55"/>
      <c r="CR249" s="269">
        <f t="shared" si="404"/>
        <v>0</v>
      </c>
      <c r="CS249" s="294"/>
      <c r="CT249" s="269"/>
      <c r="CU249" s="294"/>
      <c r="CV249" s="294"/>
      <c r="CW249" s="294"/>
    </row>
    <row r="250" spans="1:101" ht="15" customHeight="1" x14ac:dyDescent="0.2">
      <c r="A250" s="386"/>
      <c r="B250" s="409" t="s">
        <v>331</v>
      </c>
      <c r="C250" s="98" t="s">
        <v>517</v>
      </c>
      <c r="D250" s="271" t="s">
        <v>126</v>
      </c>
      <c r="E250" s="98" t="s">
        <v>51</v>
      </c>
      <c r="F250" s="307">
        <f>8.5</f>
        <v>8.5</v>
      </c>
      <c r="H250" s="115"/>
      <c r="I250" s="94"/>
      <c r="J250" s="94"/>
      <c r="K250" s="94"/>
      <c r="L250" s="94"/>
      <c r="M250" s="115"/>
      <c r="N250" s="198">
        <v>1</v>
      </c>
      <c r="O250" s="267">
        <f>SUM(O271)*($F250/100)*N250</f>
        <v>1.348548377062021</v>
      </c>
      <c r="P250" s="94"/>
      <c r="Q250" s="94"/>
      <c r="R250" s="94"/>
      <c r="S250" s="94"/>
      <c r="T250" s="94"/>
      <c r="U250" s="94"/>
      <c r="V250" s="198">
        <v>1</v>
      </c>
      <c r="W250" s="267">
        <f>SUM(W271)*($F250/100)*V250</f>
        <v>1.8257067985302518</v>
      </c>
      <c r="Y250" s="115"/>
      <c r="Z250" s="94"/>
      <c r="AA250" s="94"/>
      <c r="AB250" s="94"/>
      <c r="AC250" s="94"/>
      <c r="AD250" s="115"/>
      <c r="AE250" s="198">
        <v>1</v>
      </c>
      <c r="AF250" s="267">
        <f>SUM(AF271)*($F250/100)*AE250</f>
        <v>131.59839316383031</v>
      </c>
      <c r="AG250" s="94"/>
      <c r="AH250" s="94"/>
      <c r="AI250" s="94"/>
      <c r="AJ250" s="94"/>
      <c r="AK250" s="94"/>
      <c r="AL250" s="94"/>
      <c r="AM250" s="198">
        <v>1</v>
      </c>
      <c r="AN250" s="267">
        <f>SUM(AN271)*($F250/100)*AM250</f>
        <v>169.18263242733246</v>
      </c>
      <c r="AP250" s="115"/>
      <c r="AQ250" s="94"/>
      <c r="AR250" s="94"/>
      <c r="AS250" s="94"/>
      <c r="AT250" s="94"/>
      <c r="AU250" s="115"/>
      <c r="AV250" s="198">
        <v>1</v>
      </c>
      <c r="AW250" s="267">
        <f>SUM(AW271)*($F250/100)*AV250</f>
        <v>0.16064484852316413</v>
      </c>
      <c r="AX250" s="94"/>
      <c r="AY250" s="94"/>
      <c r="AZ250" s="94"/>
      <c r="BA250" s="94"/>
      <c r="BB250" s="94"/>
      <c r="BC250" s="94"/>
      <c r="BD250" s="198">
        <v>1</v>
      </c>
      <c r="BE250" s="267">
        <f>SUM(BE271)*($F250/100)*BD250</f>
        <v>0.21748599982491729</v>
      </c>
      <c r="BG250" s="115"/>
      <c r="BH250" s="94"/>
      <c r="BI250" s="94"/>
      <c r="BJ250" s="94"/>
      <c r="BK250" s="94"/>
      <c r="BL250" s="115"/>
      <c r="BM250" s="198">
        <v>1</v>
      </c>
      <c r="BN250" s="267">
        <f>SUM(BN271)*($F250/100)*BM250</f>
        <v>0</v>
      </c>
      <c r="BO250" s="94"/>
      <c r="BP250" s="94"/>
      <c r="BQ250" s="94"/>
      <c r="BR250" s="94"/>
      <c r="BS250" s="94"/>
      <c r="BT250" s="94"/>
      <c r="BU250" s="198">
        <v>1</v>
      </c>
      <c r="BV250" s="267">
        <f>SUM(BV271)*($F250/100)*BU250</f>
        <v>0</v>
      </c>
      <c r="BX250" s="115"/>
      <c r="BY250" s="94"/>
      <c r="BZ250" s="94"/>
      <c r="CA250" s="94"/>
      <c r="CB250" s="94"/>
      <c r="CC250" s="115"/>
      <c r="CD250" s="198">
        <v>1</v>
      </c>
      <c r="CE250" s="267">
        <f>SUM(CE271)*($F250/100)*CD250</f>
        <v>0</v>
      </c>
      <c r="CF250" s="94"/>
      <c r="CG250" s="94"/>
      <c r="CH250" s="94"/>
      <c r="CI250" s="94"/>
      <c r="CJ250" s="94"/>
      <c r="CK250" s="94"/>
      <c r="CL250" s="198">
        <v>1</v>
      </c>
      <c r="CM250" s="267">
        <f>SUM(CM271)*($F250/100)*CL250</f>
        <v>0</v>
      </c>
      <c r="CN250" s="39"/>
      <c r="CO250" s="63"/>
      <c r="CP250" s="269">
        <f t="shared" si="403"/>
        <v>133.1075863894155</v>
      </c>
      <c r="CQ250" s="3"/>
      <c r="CR250" s="269">
        <f t="shared" si="404"/>
        <v>171.22582522568766</v>
      </c>
      <c r="CS250" s="295"/>
      <c r="CT250" s="269"/>
      <c r="CU250" s="28"/>
      <c r="CV250" s="28"/>
      <c r="CW250" s="28"/>
    </row>
    <row r="251" spans="1:101" ht="15" customHeight="1" x14ac:dyDescent="0.2">
      <c r="A251" s="386"/>
      <c r="B251" s="409"/>
      <c r="C251" s="98" t="s">
        <v>518</v>
      </c>
      <c r="D251" s="271" t="s">
        <v>127</v>
      </c>
      <c r="E251" s="98" t="s">
        <v>51</v>
      </c>
      <c r="F251" s="307">
        <f>1</f>
        <v>1</v>
      </c>
      <c r="H251" s="115"/>
      <c r="I251" s="94"/>
      <c r="J251" s="94"/>
      <c r="K251" s="94"/>
      <c r="L251" s="94"/>
      <c r="M251" s="115"/>
      <c r="N251" s="198">
        <v>1</v>
      </c>
      <c r="O251" s="267">
        <f>SUM(O271)*($F251/100)*N251</f>
        <v>0.15865275024259071</v>
      </c>
      <c r="P251" s="94"/>
      <c r="Q251" s="94"/>
      <c r="R251" s="94"/>
      <c r="S251" s="94"/>
      <c r="T251" s="94"/>
      <c r="U251" s="94"/>
      <c r="V251" s="198">
        <v>1</v>
      </c>
      <c r="W251" s="267">
        <f>SUM(W271)*($F251/100)*V251</f>
        <v>0.21478903512120606</v>
      </c>
      <c r="Y251" s="115"/>
      <c r="Z251" s="94"/>
      <c r="AA251" s="94"/>
      <c r="AB251" s="94"/>
      <c r="AC251" s="94"/>
      <c r="AD251" s="115"/>
      <c r="AE251" s="198">
        <v>1</v>
      </c>
      <c r="AF251" s="267">
        <f>SUM(AF271)*($F251/100)*AE251</f>
        <v>15.482163901627096</v>
      </c>
      <c r="AG251" s="94"/>
      <c r="AH251" s="94"/>
      <c r="AI251" s="94"/>
      <c r="AJ251" s="94"/>
      <c r="AK251" s="94"/>
      <c r="AL251" s="94"/>
      <c r="AM251" s="198">
        <v>1</v>
      </c>
      <c r="AN251" s="267">
        <f>SUM(AN271)*($F251/100)*AM251</f>
        <v>19.903839109097937</v>
      </c>
      <c r="AP251" s="115"/>
      <c r="AQ251" s="94"/>
      <c r="AR251" s="94"/>
      <c r="AS251" s="94"/>
      <c r="AT251" s="94"/>
      <c r="AU251" s="115"/>
      <c r="AV251" s="198">
        <v>1</v>
      </c>
      <c r="AW251" s="267">
        <f>SUM(AW271)*($F251/100)*AV251</f>
        <v>1.8899393943901662E-2</v>
      </c>
      <c r="AX251" s="94"/>
      <c r="AY251" s="94"/>
      <c r="AZ251" s="94"/>
      <c r="BA251" s="94"/>
      <c r="BB251" s="94"/>
      <c r="BC251" s="94"/>
      <c r="BD251" s="198">
        <v>1</v>
      </c>
      <c r="BE251" s="267">
        <f>SUM(BE271)*($F251/100)*BD251</f>
        <v>2.558658821469615E-2</v>
      </c>
      <c r="BG251" s="115"/>
      <c r="BH251" s="94"/>
      <c r="BI251" s="94"/>
      <c r="BJ251" s="94"/>
      <c r="BK251" s="94"/>
      <c r="BL251" s="115"/>
      <c r="BM251" s="198">
        <v>1</v>
      </c>
      <c r="BN251" s="267">
        <f>SUM(BN271)*($F251/100)*BM251</f>
        <v>0</v>
      </c>
      <c r="BO251" s="94"/>
      <c r="BP251" s="94"/>
      <c r="BQ251" s="94"/>
      <c r="BR251" s="94"/>
      <c r="BS251" s="94"/>
      <c r="BT251" s="94"/>
      <c r="BU251" s="198">
        <v>1</v>
      </c>
      <c r="BV251" s="267">
        <f>SUM(BV271)*($F251/100)*BU251</f>
        <v>0</v>
      </c>
      <c r="BX251" s="115"/>
      <c r="BY251" s="94"/>
      <c r="BZ251" s="94"/>
      <c r="CA251" s="94"/>
      <c r="CB251" s="94"/>
      <c r="CC251" s="115"/>
      <c r="CD251" s="198">
        <v>1</v>
      </c>
      <c r="CE251" s="267">
        <f>SUM(CE271)*($F251/100)*CD251</f>
        <v>0</v>
      </c>
      <c r="CF251" s="94"/>
      <c r="CG251" s="94"/>
      <c r="CH251" s="94"/>
      <c r="CI251" s="94"/>
      <c r="CJ251" s="94"/>
      <c r="CK251" s="94"/>
      <c r="CL251" s="198">
        <v>1</v>
      </c>
      <c r="CM251" s="267">
        <f>SUM(CM271)*($F251/100)*CL251</f>
        <v>0</v>
      </c>
      <c r="CN251" s="55"/>
      <c r="CO251" s="63"/>
      <c r="CP251" s="269">
        <f t="shared" si="403"/>
        <v>15.659716045813587</v>
      </c>
      <c r="CQ251" s="3"/>
      <c r="CR251" s="269">
        <f t="shared" si="404"/>
        <v>20.144214732433841</v>
      </c>
      <c r="CS251" s="295"/>
      <c r="CT251" s="269"/>
      <c r="CU251" s="28"/>
      <c r="CV251" s="28"/>
      <c r="CW251" s="28"/>
    </row>
    <row r="252" spans="1:101" ht="15" customHeight="1" x14ac:dyDescent="0.2">
      <c r="A252" s="386"/>
      <c r="B252" s="409"/>
      <c r="C252" s="98" t="s">
        <v>519</v>
      </c>
      <c r="D252" s="271" t="s">
        <v>390</v>
      </c>
      <c r="E252" s="98" t="s">
        <v>51</v>
      </c>
      <c r="F252" s="307">
        <f>1</f>
        <v>1</v>
      </c>
      <c r="H252" s="115"/>
      <c r="I252" s="94"/>
      <c r="J252" s="94"/>
      <c r="K252" s="94"/>
      <c r="L252" s="94"/>
      <c r="M252" s="115"/>
      <c r="N252" s="198">
        <v>1</v>
      </c>
      <c r="O252" s="267">
        <f>SUM(O271)*($F252/100)*N252</f>
        <v>0.15865275024259071</v>
      </c>
      <c r="P252" s="94"/>
      <c r="Q252" s="94"/>
      <c r="R252" s="94"/>
      <c r="S252" s="94"/>
      <c r="T252" s="94"/>
      <c r="U252" s="94"/>
      <c r="V252" s="198">
        <v>1</v>
      </c>
      <c r="W252" s="267">
        <f>SUM(W271)*($F252/100)*V252</f>
        <v>0.21478903512120606</v>
      </c>
      <c r="Y252" s="115"/>
      <c r="Z252" s="94"/>
      <c r="AA252" s="94"/>
      <c r="AB252" s="94"/>
      <c r="AC252" s="94"/>
      <c r="AD252" s="115"/>
      <c r="AE252" s="198">
        <v>1</v>
      </c>
      <c r="AF252" s="267">
        <f>SUM(AF271)*($F252/100)*AE252</f>
        <v>15.482163901627096</v>
      </c>
      <c r="AG252" s="94"/>
      <c r="AH252" s="94"/>
      <c r="AI252" s="94"/>
      <c r="AJ252" s="94"/>
      <c r="AK252" s="94"/>
      <c r="AL252" s="94"/>
      <c r="AM252" s="198">
        <v>1</v>
      </c>
      <c r="AN252" s="267">
        <f>SUM(AN271)*($F252/100)*AM252</f>
        <v>19.903839109097937</v>
      </c>
      <c r="AP252" s="115"/>
      <c r="AQ252" s="94"/>
      <c r="AR252" s="94"/>
      <c r="AS252" s="94"/>
      <c r="AT252" s="94"/>
      <c r="AU252" s="115"/>
      <c r="AV252" s="198">
        <v>1</v>
      </c>
      <c r="AW252" s="267">
        <f>SUM(AW271)*($F252/100)*AV252</f>
        <v>1.8899393943901662E-2</v>
      </c>
      <c r="AX252" s="94"/>
      <c r="AY252" s="94"/>
      <c r="AZ252" s="94"/>
      <c r="BA252" s="94"/>
      <c r="BB252" s="94"/>
      <c r="BC252" s="94"/>
      <c r="BD252" s="198">
        <v>1</v>
      </c>
      <c r="BE252" s="267">
        <f>SUM(BE271)*($F252/100)*BD252</f>
        <v>2.558658821469615E-2</v>
      </c>
      <c r="BG252" s="115"/>
      <c r="BH252" s="94"/>
      <c r="BI252" s="94"/>
      <c r="BJ252" s="94"/>
      <c r="BK252" s="94"/>
      <c r="BL252" s="115"/>
      <c r="BM252" s="198">
        <v>1</v>
      </c>
      <c r="BN252" s="267">
        <f>SUM(BN271)*($F252/100)*BM252</f>
        <v>0</v>
      </c>
      <c r="BO252" s="94"/>
      <c r="BP252" s="94"/>
      <c r="BQ252" s="94"/>
      <c r="BR252" s="94"/>
      <c r="BS252" s="94"/>
      <c r="BT252" s="94"/>
      <c r="BU252" s="198">
        <v>1</v>
      </c>
      <c r="BV252" s="267">
        <f>SUM(BV271)*($F252/100)*BU252</f>
        <v>0</v>
      </c>
      <c r="BX252" s="115"/>
      <c r="BY252" s="94"/>
      <c r="BZ252" s="94"/>
      <c r="CA252" s="94"/>
      <c r="CB252" s="94"/>
      <c r="CC252" s="115"/>
      <c r="CD252" s="198">
        <v>1</v>
      </c>
      <c r="CE252" s="267">
        <f>SUM(CE271)*($F252/100)*CD252</f>
        <v>0</v>
      </c>
      <c r="CF252" s="94"/>
      <c r="CG252" s="94"/>
      <c r="CH252" s="94"/>
      <c r="CI252" s="94"/>
      <c r="CJ252" s="94"/>
      <c r="CK252" s="94"/>
      <c r="CL252" s="198">
        <v>1</v>
      </c>
      <c r="CM252" s="267">
        <f>SUM(CM271)*($F252/100)*CL252</f>
        <v>0</v>
      </c>
      <c r="CN252" s="64"/>
      <c r="CO252" s="63"/>
      <c r="CP252" s="269">
        <f t="shared" si="403"/>
        <v>15.659716045813587</v>
      </c>
      <c r="CQ252" s="3"/>
      <c r="CR252" s="269">
        <f t="shared" si="404"/>
        <v>20.144214732433841</v>
      </c>
      <c r="CS252" s="28"/>
      <c r="CT252" s="269"/>
      <c r="CU252" s="28"/>
      <c r="CV252" s="28"/>
      <c r="CW252" s="28"/>
    </row>
    <row r="253" spans="1:101" ht="15" customHeight="1" x14ac:dyDescent="0.2">
      <c r="A253" s="386"/>
      <c r="B253" s="409"/>
      <c r="C253" s="98" t="s">
        <v>520</v>
      </c>
      <c r="D253" s="271" t="s">
        <v>39</v>
      </c>
      <c r="E253" s="98" t="s">
        <v>51</v>
      </c>
      <c r="F253" s="307">
        <f>4.5</f>
        <v>4.5</v>
      </c>
      <c r="H253" s="116"/>
      <c r="I253" s="117"/>
      <c r="J253" s="117"/>
      <c r="K253" s="117"/>
      <c r="L253" s="117"/>
      <c r="M253" s="116"/>
      <c r="N253" s="198">
        <v>1</v>
      </c>
      <c r="O253" s="267">
        <f>SUM(O271)*($F253/100)*N253</f>
        <v>0.71393737609165808</v>
      </c>
      <c r="P253" s="117"/>
      <c r="Q253" s="117"/>
      <c r="R253" s="117"/>
      <c r="S253" s="117"/>
      <c r="T253" s="117"/>
      <c r="U253" s="117"/>
      <c r="V253" s="198">
        <v>1</v>
      </c>
      <c r="W253" s="267">
        <f>SUM(W271)*($F253/100)*V253</f>
        <v>0.96655065804542728</v>
      </c>
      <c r="Y253" s="116"/>
      <c r="Z253" s="117"/>
      <c r="AA253" s="117"/>
      <c r="AB253" s="117"/>
      <c r="AC253" s="117"/>
      <c r="AD253" s="116"/>
      <c r="AE253" s="198">
        <v>1</v>
      </c>
      <c r="AF253" s="267">
        <f>SUM(AF271)*($F253/100)*AE253</f>
        <v>69.669737557321923</v>
      </c>
      <c r="AG253" s="117"/>
      <c r="AH253" s="117"/>
      <c r="AI253" s="117"/>
      <c r="AJ253" s="117"/>
      <c r="AK253" s="117"/>
      <c r="AL253" s="117"/>
      <c r="AM253" s="198">
        <v>1</v>
      </c>
      <c r="AN253" s="267">
        <f>SUM(AN271)*($F253/100)*AM253</f>
        <v>89.567275990940715</v>
      </c>
      <c r="AP253" s="116"/>
      <c r="AQ253" s="117"/>
      <c r="AR253" s="117"/>
      <c r="AS253" s="117"/>
      <c r="AT253" s="117"/>
      <c r="AU253" s="116"/>
      <c r="AV253" s="198">
        <v>1</v>
      </c>
      <c r="AW253" s="267">
        <f>SUM(AW271)*($F253/100)*AV253</f>
        <v>8.5047272747557467E-2</v>
      </c>
      <c r="AX253" s="117"/>
      <c r="AY253" s="117"/>
      <c r="AZ253" s="117"/>
      <c r="BA253" s="117"/>
      <c r="BB253" s="117"/>
      <c r="BC253" s="117"/>
      <c r="BD253" s="198">
        <v>1</v>
      </c>
      <c r="BE253" s="267">
        <f>SUM(BE271)*($F253/100)*BD253</f>
        <v>0.11513964696613266</v>
      </c>
      <c r="BG253" s="116"/>
      <c r="BH253" s="117"/>
      <c r="BI253" s="117"/>
      <c r="BJ253" s="117"/>
      <c r="BK253" s="117"/>
      <c r="BL253" s="116"/>
      <c r="BM253" s="198">
        <v>1</v>
      </c>
      <c r="BN253" s="267">
        <f>SUM(BN271)*($F253/100)*BM253</f>
        <v>0</v>
      </c>
      <c r="BO253" s="117"/>
      <c r="BP253" s="117"/>
      <c r="BQ253" s="117"/>
      <c r="BR253" s="117"/>
      <c r="BS253" s="117"/>
      <c r="BT253" s="117"/>
      <c r="BU253" s="198">
        <v>1</v>
      </c>
      <c r="BV253" s="267">
        <f>SUM(BV271)*($F253/100)*BU253</f>
        <v>0</v>
      </c>
      <c r="BX253" s="116"/>
      <c r="BY253" s="117"/>
      <c r="BZ253" s="117"/>
      <c r="CA253" s="117"/>
      <c r="CB253" s="117"/>
      <c r="CC253" s="116"/>
      <c r="CD253" s="198">
        <v>1</v>
      </c>
      <c r="CE253" s="267">
        <f>SUM(CE271)*($F253/100)*CD253</f>
        <v>0</v>
      </c>
      <c r="CF253" s="117"/>
      <c r="CG253" s="117"/>
      <c r="CH253" s="117"/>
      <c r="CI253" s="117"/>
      <c r="CJ253" s="117"/>
      <c r="CK253" s="117"/>
      <c r="CL253" s="198">
        <v>1</v>
      </c>
      <c r="CM253" s="267">
        <f>SUM(CM271)*($F253/100)*CL253</f>
        <v>0</v>
      </c>
      <c r="CN253" s="64"/>
      <c r="CO253" s="63"/>
      <c r="CP253" s="269">
        <f t="shared" si="403"/>
        <v>70.468722206161146</v>
      </c>
      <c r="CQ253" s="3"/>
      <c r="CR253" s="269">
        <f t="shared" si="404"/>
        <v>90.648966295952263</v>
      </c>
      <c r="CS253" s="28"/>
      <c r="CT253" s="269"/>
      <c r="CU253" s="28"/>
      <c r="CV253" s="28"/>
      <c r="CW253" s="28"/>
    </row>
    <row r="254" spans="1:101" ht="15" customHeight="1" x14ac:dyDescent="0.2">
      <c r="A254" s="386"/>
      <c r="B254" s="409"/>
      <c r="C254" s="98" t="s">
        <v>521</v>
      </c>
      <c r="D254" s="255" t="s">
        <v>215</v>
      </c>
      <c r="E254" s="205" t="s">
        <v>10</v>
      </c>
      <c r="F254" s="206"/>
      <c r="H254" s="41"/>
      <c r="I254" s="46"/>
      <c r="J254" s="46"/>
      <c r="K254" s="46"/>
      <c r="L254" s="47"/>
      <c r="M254" s="266"/>
      <c r="N254" s="270"/>
      <c r="O254" s="267">
        <f>SUM(H254:L254)</f>
        <v>0</v>
      </c>
      <c r="P254" s="268"/>
      <c r="Q254" s="268"/>
      <c r="R254" s="268"/>
      <c r="S254" s="268"/>
      <c r="T254" s="268"/>
      <c r="U254" s="268"/>
      <c r="V254" s="270">
        <v>1</v>
      </c>
      <c r="W254" s="267">
        <f t="shared" si="405"/>
        <v>0</v>
      </c>
      <c r="Y254" s="41"/>
      <c r="Z254" s="46"/>
      <c r="AA254" s="46"/>
      <c r="AB254" s="46"/>
      <c r="AC254" s="47"/>
      <c r="AD254" s="266"/>
      <c r="AE254" s="270"/>
      <c r="AF254" s="267">
        <f>SUM(Y254:AC254)</f>
        <v>0</v>
      </c>
      <c r="AG254" s="268"/>
      <c r="AH254" s="268"/>
      <c r="AI254" s="268"/>
      <c r="AJ254" s="268"/>
      <c r="AK254" s="268"/>
      <c r="AL254" s="268"/>
      <c r="AM254" s="270">
        <v>1</v>
      </c>
      <c r="AN254" s="267">
        <f t="shared" si="406"/>
        <v>0</v>
      </c>
      <c r="AP254" s="41"/>
      <c r="AQ254" s="46"/>
      <c r="AR254" s="46"/>
      <c r="AS254" s="46"/>
      <c r="AT254" s="47"/>
      <c r="AU254" s="266"/>
      <c r="AV254" s="270"/>
      <c r="AW254" s="267">
        <f>SUM(AP254:AT254)</f>
        <v>0</v>
      </c>
      <c r="AX254" s="268"/>
      <c r="AY254" s="268"/>
      <c r="AZ254" s="268"/>
      <c r="BA254" s="268"/>
      <c r="BB254" s="268"/>
      <c r="BC254" s="268"/>
      <c r="BD254" s="270">
        <v>1</v>
      </c>
      <c r="BE254" s="267">
        <f>AW254*BD254</f>
        <v>0</v>
      </c>
      <c r="BG254" s="41"/>
      <c r="BH254" s="46"/>
      <c r="BI254" s="46"/>
      <c r="BJ254" s="46"/>
      <c r="BK254" s="47"/>
      <c r="BL254" s="266"/>
      <c r="BM254" s="270"/>
      <c r="BN254" s="267">
        <f>SUM(BG254:BK254)</f>
        <v>0</v>
      </c>
      <c r="BO254" s="268"/>
      <c r="BP254" s="268"/>
      <c r="BQ254" s="268"/>
      <c r="BR254" s="268"/>
      <c r="BS254" s="268"/>
      <c r="BT254" s="268"/>
      <c r="BU254" s="270">
        <v>1</v>
      </c>
      <c r="BV254" s="267">
        <f t="shared" si="408"/>
        <v>0</v>
      </c>
      <c r="BX254" s="41"/>
      <c r="BY254" s="46"/>
      <c r="BZ254" s="46"/>
      <c r="CA254" s="46"/>
      <c r="CB254" s="47"/>
      <c r="CC254" s="266"/>
      <c r="CD254" s="270"/>
      <c r="CE254" s="267">
        <f>SUM(BX254:CB254)</f>
        <v>0</v>
      </c>
      <c r="CF254" s="268"/>
      <c r="CG254" s="268"/>
      <c r="CH254" s="268"/>
      <c r="CI254" s="268"/>
      <c r="CJ254" s="268"/>
      <c r="CK254" s="268"/>
      <c r="CL254" s="270">
        <v>1</v>
      </c>
      <c r="CM254" s="267">
        <f t="shared" si="409"/>
        <v>0</v>
      </c>
      <c r="CN254" s="64"/>
      <c r="CO254" s="63"/>
      <c r="CP254" s="269">
        <f t="shared" si="403"/>
        <v>0</v>
      </c>
      <c r="CQ254" s="3"/>
      <c r="CR254" s="269">
        <f t="shared" si="404"/>
        <v>0</v>
      </c>
      <c r="CS254" s="28"/>
      <c r="CT254" s="269"/>
      <c r="CU254" s="28"/>
      <c r="CV254" s="28"/>
      <c r="CW254" s="28"/>
    </row>
    <row r="255" spans="1:101" ht="15" customHeight="1" x14ac:dyDescent="0.2">
      <c r="A255" s="386"/>
      <c r="B255" s="409"/>
      <c r="C255" s="98" t="s">
        <v>522</v>
      </c>
      <c r="D255" s="255" t="s">
        <v>215</v>
      </c>
      <c r="E255" s="205" t="s">
        <v>10</v>
      </c>
      <c r="F255" s="206"/>
      <c r="H255" s="43"/>
      <c r="I255" s="24"/>
      <c r="J255" s="24"/>
      <c r="K255" s="24"/>
      <c r="L255" s="25"/>
      <c r="M255" s="266"/>
      <c r="N255" s="270"/>
      <c r="O255" s="267">
        <f>SUM(H255:L255)</f>
        <v>0</v>
      </c>
      <c r="P255" s="268"/>
      <c r="Q255" s="268"/>
      <c r="R255" s="268"/>
      <c r="S255" s="268"/>
      <c r="T255" s="268"/>
      <c r="U255" s="268"/>
      <c r="V255" s="270">
        <v>1</v>
      </c>
      <c r="W255" s="267">
        <f t="shared" si="405"/>
        <v>0</v>
      </c>
      <c r="Y255" s="43"/>
      <c r="Z255" s="24"/>
      <c r="AA255" s="24"/>
      <c r="AB255" s="24"/>
      <c r="AC255" s="25"/>
      <c r="AD255" s="266"/>
      <c r="AE255" s="270"/>
      <c r="AF255" s="267">
        <f>SUM(Y255:AC255)</f>
        <v>0</v>
      </c>
      <c r="AG255" s="268"/>
      <c r="AH255" s="268"/>
      <c r="AI255" s="268"/>
      <c r="AJ255" s="268"/>
      <c r="AK255" s="268"/>
      <c r="AL255" s="268"/>
      <c r="AM255" s="270">
        <v>1</v>
      </c>
      <c r="AN255" s="267">
        <f t="shared" si="406"/>
        <v>0</v>
      </c>
      <c r="AP255" s="43"/>
      <c r="AQ255" s="24"/>
      <c r="AR255" s="24"/>
      <c r="AS255" s="24"/>
      <c r="AT255" s="25"/>
      <c r="AU255" s="266"/>
      <c r="AV255" s="270"/>
      <c r="AW255" s="267">
        <f>SUM(AP255:AT255)</f>
        <v>0</v>
      </c>
      <c r="AX255" s="268"/>
      <c r="AY255" s="268"/>
      <c r="AZ255" s="268"/>
      <c r="BA255" s="268"/>
      <c r="BB255" s="268"/>
      <c r="BC255" s="268"/>
      <c r="BD255" s="270">
        <v>1</v>
      </c>
      <c r="BE255" s="267">
        <f>AW255*BD255</f>
        <v>0</v>
      </c>
      <c r="BG255" s="43"/>
      <c r="BH255" s="24"/>
      <c r="BI255" s="24"/>
      <c r="BJ255" s="24"/>
      <c r="BK255" s="25"/>
      <c r="BL255" s="266"/>
      <c r="BM255" s="270"/>
      <c r="BN255" s="267">
        <f>SUM(BG255:BK255)</f>
        <v>0</v>
      </c>
      <c r="BO255" s="268"/>
      <c r="BP255" s="268"/>
      <c r="BQ255" s="268"/>
      <c r="BR255" s="268"/>
      <c r="BS255" s="268"/>
      <c r="BT255" s="268"/>
      <c r="BU255" s="270">
        <v>1</v>
      </c>
      <c r="BV255" s="267">
        <f t="shared" si="408"/>
        <v>0</v>
      </c>
      <c r="BX255" s="43"/>
      <c r="BY255" s="24"/>
      <c r="BZ255" s="24"/>
      <c r="CA255" s="24"/>
      <c r="CB255" s="25"/>
      <c r="CC255" s="266"/>
      <c r="CD255" s="270"/>
      <c r="CE255" s="267">
        <f>SUM(BX255:CB255)</f>
        <v>0</v>
      </c>
      <c r="CF255" s="268"/>
      <c r="CG255" s="268"/>
      <c r="CH255" s="268"/>
      <c r="CI255" s="268"/>
      <c r="CJ255" s="268"/>
      <c r="CK255" s="268"/>
      <c r="CL255" s="270">
        <v>1</v>
      </c>
      <c r="CM255" s="267">
        <f t="shared" si="409"/>
        <v>0</v>
      </c>
      <c r="CN255" s="64"/>
      <c r="CO255" s="63"/>
      <c r="CP255" s="269">
        <f t="shared" si="403"/>
        <v>0</v>
      </c>
      <c r="CQ255" s="3"/>
      <c r="CR255" s="269">
        <f t="shared" si="404"/>
        <v>0</v>
      </c>
      <c r="CS255" s="28"/>
      <c r="CT255" s="269"/>
      <c r="CU255" s="28"/>
      <c r="CV255" s="28"/>
      <c r="CW255" s="28"/>
    </row>
    <row r="256" spans="1:101" ht="15" customHeight="1" x14ac:dyDescent="0.2">
      <c r="A256" s="386"/>
      <c r="B256" s="150" t="s">
        <v>550</v>
      </c>
      <c r="C256" s="149" t="s">
        <v>551</v>
      </c>
      <c r="D256" s="272" t="s">
        <v>389</v>
      </c>
      <c r="E256" s="149" t="s">
        <v>51</v>
      </c>
      <c r="F256" s="308">
        <v>10</v>
      </c>
      <c r="H256" s="115"/>
      <c r="I256" s="94"/>
      <c r="J256" s="94"/>
      <c r="K256" s="94"/>
      <c r="L256" s="94"/>
      <c r="M256" s="115"/>
      <c r="N256" s="273">
        <v>1</v>
      </c>
      <c r="O256" s="125">
        <f>SUM(O271)*($F256/100)*N256</f>
        <v>1.5865275024259071</v>
      </c>
      <c r="P256" s="274"/>
      <c r="Q256" s="274"/>
      <c r="R256" s="274"/>
      <c r="S256" s="274"/>
      <c r="T256" s="274"/>
      <c r="U256" s="274"/>
      <c r="V256" s="275">
        <v>1</v>
      </c>
      <c r="W256" s="125">
        <f>SUM(W271)*($F256/100)*V256</f>
        <v>2.1478903512120606</v>
      </c>
      <c r="Y256" s="115"/>
      <c r="Z256" s="94"/>
      <c r="AA256" s="94"/>
      <c r="AB256" s="94"/>
      <c r="AC256" s="94"/>
      <c r="AD256" s="115"/>
      <c r="AE256" s="273">
        <v>1</v>
      </c>
      <c r="AF256" s="125">
        <f>SUM(AF271)*($F256/100)*AE256</f>
        <v>154.82163901627098</v>
      </c>
      <c r="AG256" s="274"/>
      <c r="AH256" s="274"/>
      <c r="AI256" s="274"/>
      <c r="AJ256" s="274"/>
      <c r="AK256" s="274"/>
      <c r="AL256" s="274"/>
      <c r="AM256" s="275">
        <v>1</v>
      </c>
      <c r="AN256" s="125">
        <f>SUM(AN271)*($F256/100)*AM256</f>
        <v>199.03839109097939</v>
      </c>
      <c r="AP256" s="115"/>
      <c r="AQ256" s="94"/>
      <c r="AR256" s="94"/>
      <c r="AS256" s="94"/>
      <c r="AT256" s="94"/>
      <c r="AU256" s="115"/>
      <c r="AV256" s="273">
        <v>1</v>
      </c>
      <c r="AW256" s="125">
        <f>SUM(AW271)*($F256/100)*AV256</f>
        <v>0.18899393943901663</v>
      </c>
      <c r="AX256" s="274"/>
      <c r="AY256" s="274"/>
      <c r="AZ256" s="274"/>
      <c r="BA256" s="274"/>
      <c r="BB256" s="274"/>
      <c r="BC256" s="274"/>
      <c r="BD256" s="275">
        <v>1</v>
      </c>
      <c r="BE256" s="125">
        <f>SUM(BE271)*($F256/100)*BD256</f>
        <v>0.25586588214696149</v>
      </c>
      <c r="BG256" s="115"/>
      <c r="BH256" s="94"/>
      <c r="BI256" s="94"/>
      <c r="BJ256" s="94"/>
      <c r="BK256" s="94"/>
      <c r="BL256" s="115"/>
      <c r="BM256" s="273">
        <v>1</v>
      </c>
      <c r="BN256" s="125">
        <f>SUM(BN271)*($F256/100)*BM256</f>
        <v>0</v>
      </c>
      <c r="BO256" s="274"/>
      <c r="BP256" s="274"/>
      <c r="BQ256" s="274"/>
      <c r="BR256" s="274"/>
      <c r="BS256" s="274"/>
      <c r="BT256" s="274"/>
      <c r="BU256" s="275">
        <v>1</v>
      </c>
      <c r="BV256" s="125">
        <f>SUM(BV271)*($F256/100)*BU256</f>
        <v>0</v>
      </c>
      <c r="BX256" s="115"/>
      <c r="BY256" s="94"/>
      <c r="BZ256" s="94"/>
      <c r="CA256" s="94"/>
      <c r="CB256" s="94"/>
      <c r="CC256" s="115"/>
      <c r="CD256" s="273">
        <v>1</v>
      </c>
      <c r="CE256" s="125">
        <f>SUM(CE271)*($F256/100)*CD256</f>
        <v>0</v>
      </c>
      <c r="CF256" s="274"/>
      <c r="CG256" s="274"/>
      <c r="CH256" s="274"/>
      <c r="CI256" s="274"/>
      <c r="CJ256" s="274"/>
      <c r="CK256" s="274"/>
      <c r="CL256" s="275">
        <v>1</v>
      </c>
      <c r="CM256" s="125">
        <f>SUM(CM271)*($F256/100)*CL256</f>
        <v>0</v>
      </c>
      <c r="CN256" s="64"/>
      <c r="CO256" s="63"/>
      <c r="CP256" s="269">
        <f t="shared" si="403"/>
        <v>156.5971604581359</v>
      </c>
      <c r="CQ256" s="3"/>
      <c r="CR256" s="269">
        <f t="shared" si="404"/>
        <v>201.44214732433841</v>
      </c>
      <c r="CS256" s="28"/>
      <c r="CT256" s="269"/>
      <c r="CU256" s="28"/>
      <c r="CV256" s="28"/>
      <c r="CW256" s="28"/>
    </row>
    <row r="257" spans="1:101" ht="15" customHeight="1" thickBot="1" x14ac:dyDescent="0.25">
      <c r="A257" s="387"/>
      <c r="B257" s="209"/>
      <c r="C257" s="210"/>
      <c r="D257" s="211" t="s">
        <v>22</v>
      </c>
      <c r="E257" s="210"/>
      <c r="F257" s="212"/>
      <c r="H257" s="138"/>
      <c r="I257" s="139"/>
      <c r="J257" s="139"/>
      <c r="K257" s="139"/>
      <c r="L257" s="139"/>
      <c r="M257" s="213"/>
      <c r="N257" s="214"/>
      <c r="O257" s="215">
        <f>SUM(O243:O256)</f>
        <v>3.9663187560647675</v>
      </c>
      <c r="P257" s="216"/>
      <c r="Q257" s="216"/>
      <c r="R257" s="216"/>
      <c r="S257" s="216"/>
      <c r="T257" s="216"/>
      <c r="U257" s="216"/>
      <c r="V257" s="214"/>
      <c r="W257" s="215">
        <f>SUM(W243:W256)</f>
        <v>5.3697258780301524</v>
      </c>
      <c r="Y257" s="138"/>
      <c r="Z257" s="139"/>
      <c r="AA257" s="139"/>
      <c r="AB257" s="139"/>
      <c r="AC257" s="139"/>
      <c r="AD257" s="213"/>
      <c r="AE257" s="214"/>
      <c r="AF257" s="215">
        <f>SUM(AF243:AF256)</f>
        <v>387.05409754067739</v>
      </c>
      <c r="AG257" s="216"/>
      <c r="AH257" s="216"/>
      <c r="AI257" s="216"/>
      <c r="AJ257" s="216"/>
      <c r="AK257" s="216"/>
      <c r="AL257" s="216"/>
      <c r="AM257" s="214"/>
      <c r="AN257" s="215">
        <f>SUM(AN243:AN256)</f>
        <v>497.59597772744848</v>
      </c>
      <c r="AP257" s="138"/>
      <c r="AQ257" s="139"/>
      <c r="AR257" s="139"/>
      <c r="AS257" s="139"/>
      <c r="AT257" s="139"/>
      <c r="AU257" s="213"/>
      <c r="AV257" s="214"/>
      <c r="AW257" s="215">
        <f>SUM(AW243:AW256)</f>
        <v>0.47248484859754158</v>
      </c>
      <c r="AX257" s="216"/>
      <c r="AY257" s="216"/>
      <c r="AZ257" s="216"/>
      <c r="BA257" s="216"/>
      <c r="BB257" s="216"/>
      <c r="BC257" s="216"/>
      <c r="BD257" s="214"/>
      <c r="BE257" s="215">
        <f>SUM(BE243:BE256)</f>
        <v>0.63966470536740372</v>
      </c>
      <c r="BG257" s="138"/>
      <c r="BH257" s="139"/>
      <c r="BI257" s="139"/>
      <c r="BJ257" s="139"/>
      <c r="BK257" s="139"/>
      <c r="BL257" s="213"/>
      <c r="BM257" s="214"/>
      <c r="BN257" s="215">
        <f>SUM(BN243:BN256)</f>
        <v>0</v>
      </c>
      <c r="BO257" s="216"/>
      <c r="BP257" s="216"/>
      <c r="BQ257" s="216"/>
      <c r="BR257" s="216"/>
      <c r="BS257" s="216"/>
      <c r="BT257" s="216"/>
      <c r="BU257" s="214"/>
      <c r="BV257" s="215">
        <f>SUM(BV243:BV256)</f>
        <v>0</v>
      </c>
      <c r="BX257" s="138"/>
      <c r="BY257" s="139"/>
      <c r="BZ257" s="139"/>
      <c r="CA257" s="139"/>
      <c r="CB257" s="139"/>
      <c r="CC257" s="213"/>
      <c r="CD257" s="214"/>
      <c r="CE257" s="215">
        <f>SUM(CE243:CE256)</f>
        <v>0</v>
      </c>
      <c r="CF257" s="216"/>
      <c r="CG257" s="216"/>
      <c r="CH257" s="216"/>
      <c r="CI257" s="216"/>
      <c r="CJ257" s="216"/>
      <c r="CK257" s="216"/>
      <c r="CL257" s="214"/>
      <c r="CM257" s="215">
        <f>SUM(CM243:CM256)</f>
        <v>0</v>
      </c>
      <c r="CN257" s="39"/>
      <c r="CO257" s="3"/>
      <c r="CP257" s="217">
        <f>SUM(CP243:CP256)</f>
        <v>391.49290114533972</v>
      </c>
      <c r="CQ257" s="3"/>
      <c r="CR257" s="217">
        <f>SUM(CR243:CR256)</f>
        <v>503.60536831084602</v>
      </c>
      <c r="CS257" s="28"/>
      <c r="CT257" s="217"/>
      <c r="CU257" s="28"/>
      <c r="CV257" s="28"/>
      <c r="CW257" s="28"/>
    </row>
    <row r="258" spans="1:101" ht="6.95" customHeight="1" thickBot="1" x14ac:dyDescent="0.25">
      <c r="A258" s="84"/>
      <c r="B258" s="85"/>
      <c r="C258" s="86"/>
      <c r="D258" s="276"/>
      <c r="E258" s="86"/>
      <c r="F258" s="309"/>
      <c r="H258" s="259"/>
      <c r="I258" s="87"/>
      <c r="J258" s="87"/>
      <c r="K258" s="87"/>
      <c r="L258" s="87"/>
      <c r="M258" s="88"/>
      <c r="N258" s="88"/>
      <c r="O258" s="89"/>
      <c r="P258" s="88"/>
      <c r="Q258" s="88"/>
      <c r="R258" s="88"/>
      <c r="S258" s="88"/>
      <c r="T258" s="88"/>
      <c r="U258" s="88"/>
      <c r="V258" s="88"/>
      <c r="W258" s="288"/>
      <c r="Y258" s="259"/>
      <c r="Z258" s="87"/>
      <c r="AA258" s="87"/>
      <c r="AB258" s="87"/>
      <c r="AC258" s="87"/>
      <c r="AD258" s="88"/>
      <c r="AE258" s="88"/>
      <c r="AF258" s="89"/>
      <c r="AG258" s="88"/>
      <c r="AH258" s="88"/>
      <c r="AI258" s="88"/>
      <c r="AJ258" s="88"/>
      <c r="AK258" s="88"/>
      <c r="AL258" s="88"/>
      <c r="AM258" s="88"/>
      <c r="AN258" s="288"/>
      <c r="AP258" s="259"/>
      <c r="AQ258" s="87"/>
      <c r="AR258" s="87"/>
      <c r="AS258" s="87"/>
      <c r="AT258" s="87"/>
      <c r="AU258" s="88"/>
      <c r="AV258" s="88"/>
      <c r="AW258" s="89"/>
      <c r="AX258" s="88"/>
      <c r="AY258" s="88"/>
      <c r="AZ258" s="88"/>
      <c r="BA258" s="88"/>
      <c r="BB258" s="88"/>
      <c r="BC258" s="88"/>
      <c r="BD258" s="88"/>
      <c r="BE258" s="288"/>
      <c r="BG258" s="259"/>
      <c r="BH258" s="87"/>
      <c r="BI258" s="87"/>
      <c r="BJ258" s="87"/>
      <c r="BK258" s="87"/>
      <c r="BL258" s="88"/>
      <c r="BM258" s="88"/>
      <c r="BN258" s="89"/>
      <c r="BO258" s="88"/>
      <c r="BP258" s="88"/>
      <c r="BQ258" s="88"/>
      <c r="BR258" s="88"/>
      <c r="BS258" s="88"/>
      <c r="BT258" s="88"/>
      <c r="BU258" s="88"/>
      <c r="BV258" s="288"/>
      <c r="BX258" s="259"/>
      <c r="BY258" s="87"/>
      <c r="BZ258" s="87"/>
      <c r="CA258" s="87"/>
      <c r="CB258" s="87"/>
      <c r="CC258" s="88"/>
      <c r="CD258" s="88"/>
      <c r="CE258" s="89"/>
      <c r="CF258" s="88"/>
      <c r="CG258" s="88"/>
      <c r="CH258" s="88"/>
      <c r="CI258" s="88"/>
      <c r="CJ258" s="88"/>
      <c r="CK258" s="88"/>
      <c r="CL258" s="88"/>
      <c r="CM258" s="288"/>
      <c r="CN258" s="64"/>
      <c r="CO258" s="63"/>
      <c r="CP258" s="91"/>
      <c r="CQ258" s="3"/>
      <c r="CR258" s="91"/>
      <c r="CS258" s="28"/>
      <c r="CT258" s="91"/>
      <c r="CU258" s="28"/>
      <c r="CV258" s="28"/>
      <c r="CW258" s="28"/>
    </row>
    <row r="259" spans="1:101" ht="15" customHeight="1" x14ac:dyDescent="0.2">
      <c r="A259" s="386" t="s">
        <v>445</v>
      </c>
      <c r="B259" s="403" t="s">
        <v>443</v>
      </c>
      <c r="C259" s="100"/>
      <c r="D259" s="101" t="s">
        <v>48</v>
      </c>
      <c r="E259" s="102" t="s">
        <v>10</v>
      </c>
      <c r="F259" s="310"/>
      <c r="H259" s="115"/>
      <c r="I259" s="94"/>
      <c r="J259" s="94"/>
      <c r="K259" s="94"/>
      <c r="L259" s="94"/>
      <c r="M259" s="120"/>
      <c r="N259" s="121"/>
      <c r="O259" s="122">
        <f>SUM(O7:O23)</f>
        <v>4.9138424254144324</v>
      </c>
      <c r="P259" s="144"/>
      <c r="Q259" s="144"/>
      <c r="R259" s="144"/>
      <c r="S259" s="144"/>
      <c r="T259" s="144"/>
      <c r="U259" s="144"/>
      <c r="V259" s="121"/>
      <c r="W259" s="122">
        <f>SUM(W7:W23)</f>
        <v>6.652512935821</v>
      </c>
      <c r="Y259" s="115"/>
      <c r="Z259" s="94"/>
      <c r="AA259" s="94"/>
      <c r="AB259" s="94"/>
      <c r="AC259" s="94"/>
      <c r="AD259" s="120"/>
      <c r="AE259" s="121"/>
      <c r="AF259" s="122">
        <f>SUM(AF7:AF23)</f>
        <v>273.37717942638295</v>
      </c>
      <c r="AG259" s="144"/>
      <c r="AH259" s="144"/>
      <c r="AI259" s="144"/>
      <c r="AJ259" s="144"/>
      <c r="AK259" s="144"/>
      <c r="AL259" s="144"/>
      <c r="AM259" s="121"/>
      <c r="AN259" s="122">
        <f>SUM(AN7:AN23)</f>
        <v>370.10654087852379</v>
      </c>
      <c r="AP259" s="115"/>
      <c r="AQ259" s="94"/>
      <c r="AR259" s="94"/>
      <c r="AS259" s="94"/>
      <c r="AT259" s="94"/>
      <c r="AU259" s="120"/>
      <c r="AV259" s="121"/>
      <c r="AW259" s="122">
        <f>SUM(AW7:AW23)</f>
        <v>1.8899393943901661</v>
      </c>
      <c r="AX259" s="144"/>
      <c r="AY259" s="144"/>
      <c r="AZ259" s="144"/>
      <c r="BA259" s="144"/>
      <c r="BB259" s="144"/>
      <c r="BC259" s="144"/>
      <c r="BD259" s="121"/>
      <c r="BE259" s="122">
        <f>SUM(BE7:BE23)</f>
        <v>2.5586588214696149</v>
      </c>
      <c r="BG259" s="115"/>
      <c r="BH259" s="94"/>
      <c r="BI259" s="94"/>
      <c r="BJ259" s="94"/>
      <c r="BK259" s="94"/>
      <c r="BL259" s="120"/>
      <c r="BM259" s="121"/>
      <c r="BN259" s="122">
        <f>SUM(BN7:BN23)</f>
        <v>0</v>
      </c>
      <c r="BO259" s="144"/>
      <c r="BP259" s="144"/>
      <c r="BQ259" s="144"/>
      <c r="BR259" s="144"/>
      <c r="BS259" s="144"/>
      <c r="BT259" s="144"/>
      <c r="BU259" s="121"/>
      <c r="BV259" s="122">
        <f>SUM(BV7:BV23)</f>
        <v>0</v>
      </c>
      <c r="BX259" s="115"/>
      <c r="BY259" s="94"/>
      <c r="BZ259" s="94"/>
      <c r="CA259" s="94"/>
      <c r="CB259" s="94"/>
      <c r="CC259" s="120"/>
      <c r="CD259" s="121"/>
      <c r="CE259" s="122">
        <f>SUM(CE7:CE23)</f>
        <v>0</v>
      </c>
      <c r="CF259" s="144"/>
      <c r="CG259" s="144"/>
      <c r="CH259" s="144"/>
      <c r="CI259" s="144"/>
      <c r="CJ259" s="144"/>
      <c r="CK259" s="144"/>
      <c r="CL259" s="121"/>
      <c r="CM259" s="122">
        <f>SUM(CM7:CM23)</f>
        <v>0</v>
      </c>
      <c r="CN259" s="64"/>
      <c r="CO259" s="63"/>
      <c r="CP259" s="132">
        <f t="shared" ref="CP259:CP277" si="410">O259+AF259+AW259+BN259+CE259</f>
        <v>280.18096124618756</v>
      </c>
      <c r="CQ259" s="3"/>
      <c r="CR259" s="265">
        <f t="shared" ref="CR259:CR270" si="411">W259+AN259+BE259+BV259+CM259</f>
        <v>379.31771263581442</v>
      </c>
      <c r="CS259" s="28"/>
      <c r="CT259" s="265"/>
      <c r="CU259" s="28"/>
      <c r="CV259" s="28"/>
      <c r="CW259" s="28"/>
    </row>
    <row r="260" spans="1:101" ht="15" customHeight="1" x14ac:dyDescent="0.2">
      <c r="A260" s="386"/>
      <c r="B260" s="404"/>
      <c r="C260" s="103"/>
      <c r="D260" s="104" t="s">
        <v>49</v>
      </c>
      <c r="E260" s="98" t="s">
        <v>10</v>
      </c>
      <c r="F260" s="310"/>
      <c r="H260" s="115"/>
      <c r="I260" s="94"/>
      <c r="J260" s="94"/>
      <c r="K260" s="94"/>
      <c r="L260" s="94"/>
      <c r="M260" s="123"/>
      <c r="N260" s="124"/>
      <c r="O260" s="125">
        <f>SUM(O25:O40)</f>
        <v>10.951432598844637</v>
      </c>
      <c r="P260" s="145"/>
      <c r="Q260" s="145"/>
      <c r="R260" s="145"/>
      <c r="S260" s="145"/>
      <c r="T260" s="145"/>
      <c r="U260" s="145"/>
      <c r="V260" s="124"/>
      <c r="W260" s="125">
        <f>SUM(W25:W40)</f>
        <v>14.826390576299605</v>
      </c>
      <c r="Y260" s="115"/>
      <c r="Z260" s="94"/>
      <c r="AA260" s="94"/>
      <c r="AB260" s="94"/>
      <c r="AC260" s="94"/>
      <c r="AD260" s="123"/>
      <c r="AE260" s="124"/>
      <c r="AF260" s="125">
        <f>SUM(AF25:AF40)</f>
        <v>82.31035873376203</v>
      </c>
      <c r="AG260" s="145"/>
      <c r="AH260" s="145"/>
      <c r="AI260" s="145"/>
      <c r="AJ260" s="145"/>
      <c r="AK260" s="145"/>
      <c r="AL260" s="145"/>
      <c r="AM260" s="124"/>
      <c r="AN260" s="125">
        <f>SUM(AN25:AN40)</f>
        <v>111.43432752266915</v>
      </c>
      <c r="AP260" s="115"/>
      <c r="AQ260" s="94"/>
      <c r="AR260" s="94"/>
      <c r="AS260" s="94"/>
      <c r="AT260" s="94"/>
      <c r="AU260" s="123"/>
      <c r="AV260" s="124"/>
      <c r="AW260" s="125">
        <f>SUM(AW25:AW40)</f>
        <v>0</v>
      </c>
      <c r="AX260" s="145"/>
      <c r="AY260" s="145"/>
      <c r="AZ260" s="145"/>
      <c r="BA260" s="145"/>
      <c r="BB260" s="145"/>
      <c r="BC260" s="145"/>
      <c r="BD260" s="124"/>
      <c r="BE260" s="125">
        <f>SUM(BE25:BE40)</f>
        <v>0</v>
      </c>
      <c r="BG260" s="115"/>
      <c r="BH260" s="94"/>
      <c r="BI260" s="94"/>
      <c r="BJ260" s="94"/>
      <c r="BK260" s="94"/>
      <c r="BL260" s="123"/>
      <c r="BM260" s="124"/>
      <c r="BN260" s="125">
        <f>SUM(BN25:BN40)</f>
        <v>0</v>
      </c>
      <c r="BO260" s="145"/>
      <c r="BP260" s="145"/>
      <c r="BQ260" s="145"/>
      <c r="BR260" s="145"/>
      <c r="BS260" s="145"/>
      <c r="BT260" s="145"/>
      <c r="BU260" s="124"/>
      <c r="BV260" s="125">
        <f>SUM(BV25:BV40)</f>
        <v>0</v>
      </c>
      <c r="BX260" s="115"/>
      <c r="BY260" s="94"/>
      <c r="BZ260" s="94"/>
      <c r="CA260" s="94"/>
      <c r="CB260" s="94"/>
      <c r="CC260" s="123"/>
      <c r="CD260" s="124"/>
      <c r="CE260" s="125">
        <f>SUM(CE25:CE40)</f>
        <v>0</v>
      </c>
      <c r="CF260" s="145"/>
      <c r="CG260" s="145"/>
      <c r="CH260" s="145"/>
      <c r="CI260" s="145"/>
      <c r="CJ260" s="145"/>
      <c r="CK260" s="145"/>
      <c r="CL260" s="124"/>
      <c r="CM260" s="125">
        <f>SUM(CM25:CM40)</f>
        <v>0</v>
      </c>
      <c r="CN260" s="64"/>
      <c r="CO260" s="63"/>
      <c r="CP260" s="133">
        <f t="shared" si="410"/>
        <v>93.261791332606663</v>
      </c>
      <c r="CQ260" s="3"/>
      <c r="CR260" s="269">
        <f t="shared" si="411"/>
        <v>126.26071809896875</v>
      </c>
      <c r="CT260" s="269"/>
    </row>
    <row r="261" spans="1:101" ht="15" customHeight="1" x14ac:dyDescent="0.2">
      <c r="A261" s="386"/>
      <c r="B261" s="404"/>
      <c r="C261" s="103"/>
      <c r="D261" s="104" t="s">
        <v>391</v>
      </c>
      <c r="E261" s="98" t="s">
        <v>10</v>
      </c>
      <c r="F261" s="310"/>
      <c r="H261" s="115"/>
      <c r="I261" s="94"/>
      <c r="J261" s="94"/>
      <c r="K261" s="94"/>
      <c r="L261" s="94"/>
      <c r="M261" s="123"/>
      <c r="N261" s="124"/>
      <c r="O261" s="125">
        <f>SUM(O42:O56,O58:O64,O225:O240)</f>
        <v>0</v>
      </c>
      <c r="P261" s="145"/>
      <c r="Q261" s="145"/>
      <c r="R261" s="145"/>
      <c r="S261" s="145"/>
      <c r="T261" s="145"/>
      <c r="U261" s="145"/>
      <c r="V261" s="124"/>
      <c r="W261" s="125">
        <f>SUM(W42:W56,W58:W64,W225:W240)</f>
        <v>0</v>
      </c>
      <c r="Y261" s="115"/>
      <c r="Z261" s="94"/>
      <c r="AA261" s="94"/>
      <c r="AB261" s="94"/>
      <c r="AC261" s="94"/>
      <c r="AD261" s="123"/>
      <c r="AE261" s="124"/>
      <c r="AF261" s="125">
        <f>SUM(AF42:AF56,AF58:AF64,AF225:AF240)</f>
        <v>271.04767250551043</v>
      </c>
      <c r="AG261" s="145"/>
      <c r="AH261" s="145"/>
      <c r="AI261" s="145"/>
      <c r="AJ261" s="145"/>
      <c r="AK261" s="145"/>
      <c r="AL261" s="145"/>
      <c r="AM261" s="124"/>
      <c r="AN261" s="125">
        <f>SUM(AN42:AN56,AN58:AN64,AN225:AN240)</f>
        <v>363.06446423805698</v>
      </c>
      <c r="AP261" s="115"/>
      <c r="AQ261" s="94"/>
      <c r="AR261" s="94"/>
      <c r="AS261" s="94"/>
      <c r="AT261" s="94"/>
      <c r="AU261" s="123"/>
      <c r="AV261" s="124"/>
      <c r="AW261" s="125">
        <f>SUM(AW42:AW56,AW58:AW64,AW225:AW240)</f>
        <v>0</v>
      </c>
      <c r="AX261" s="145"/>
      <c r="AY261" s="145"/>
      <c r="AZ261" s="145"/>
      <c r="BA261" s="145"/>
      <c r="BB261" s="145"/>
      <c r="BC261" s="145"/>
      <c r="BD261" s="124"/>
      <c r="BE261" s="125">
        <f>SUM(BE42:BE56,BE58:BE64,BE225:BE240)</f>
        <v>0</v>
      </c>
      <c r="BG261" s="115"/>
      <c r="BH261" s="94"/>
      <c r="BI261" s="94"/>
      <c r="BJ261" s="94"/>
      <c r="BK261" s="94"/>
      <c r="BL261" s="123"/>
      <c r="BM261" s="124"/>
      <c r="BN261" s="125">
        <f>SUM(BN42:BN56,BN58:BN64,BN225:BN240)</f>
        <v>0</v>
      </c>
      <c r="BO261" s="145"/>
      <c r="BP261" s="145"/>
      <c r="BQ261" s="145"/>
      <c r="BR261" s="145"/>
      <c r="BS261" s="145"/>
      <c r="BT261" s="145"/>
      <c r="BU261" s="124"/>
      <c r="BV261" s="125">
        <f>SUM(BV42:BV56,BV58:BV64,BV225:BV240)</f>
        <v>0</v>
      </c>
      <c r="BX261" s="115"/>
      <c r="BY261" s="94"/>
      <c r="BZ261" s="94"/>
      <c r="CA261" s="94"/>
      <c r="CB261" s="94"/>
      <c r="CC261" s="123"/>
      <c r="CD261" s="124"/>
      <c r="CE261" s="125">
        <f>SUM(CE42:CE56,CE58:CE64,CE225:CE240)</f>
        <v>0</v>
      </c>
      <c r="CF261" s="145"/>
      <c r="CG261" s="145"/>
      <c r="CH261" s="145"/>
      <c r="CI261" s="145"/>
      <c r="CJ261" s="145"/>
      <c r="CK261" s="145"/>
      <c r="CL261" s="124"/>
      <c r="CM261" s="125">
        <f>SUM(CM42:CM56,CM58:CM64,CM225:CM240)</f>
        <v>0</v>
      </c>
      <c r="CN261" s="64"/>
      <c r="CO261" s="63"/>
      <c r="CP261" s="133">
        <f t="shared" si="410"/>
        <v>271.04767250551043</v>
      </c>
      <c r="CQ261" s="3"/>
      <c r="CR261" s="269">
        <f t="shared" si="411"/>
        <v>363.06446423805698</v>
      </c>
      <c r="CT261" s="269"/>
    </row>
    <row r="262" spans="1:101" ht="15" customHeight="1" x14ac:dyDescent="0.2">
      <c r="A262" s="386"/>
      <c r="B262" s="404"/>
      <c r="C262" s="103"/>
      <c r="D262" s="104" t="s">
        <v>40</v>
      </c>
      <c r="E262" s="98" t="s">
        <v>10</v>
      </c>
      <c r="F262" s="310"/>
      <c r="H262" s="115"/>
      <c r="I262" s="94"/>
      <c r="J262" s="94"/>
      <c r="K262" s="94"/>
      <c r="L262" s="94"/>
      <c r="M262" s="123"/>
      <c r="N262" s="124"/>
      <c r="O262" s="125">
        <f>SUM(O66:O98)</f>
        <v>0</v>
      </c>
      <c r="P262" s="145"/>
      <c r="Q262" s="145"/>
      <c r="R262" s="145"/>
      <c r="S262" s="145"/>
      <c r="T262" s="145"/>
      <c r="U262" s="145"/>
      <c r="V262" s="124"/>
      <c r="W262" s="125">
        <f>SUM(W66:W98)</f>
        <v>0</v>
      </c>
      <c r="Y262" s="115"/>
      <c r="Z262" s="94"/>
      <c r="AA262" s="94"/>
      <c r="AB262" s="94"/>
      <c r="AC262" s="94"/>
      <c r="AD262" s="123"/>
      <c r="AE262" s="124"/>
      <c r="AF262" s="125">
        <f>SUM(AF66:AF98)</f>
        <v>389.41181933423348</v>
      </c>
      <c r="AG262" s="145"/>
      <c r="AH262" s="145"/>
      <c r="AI262" s="145"/>
      <c r="AJ262" s="145"/>
      <c r="AK262" s="145"/>
      <c r="AL262" s="145"/>
      <c r="AM262" s="124"/>
      <c r="AN262" s="125">
        <f>SUM(AN66:AN98)</f>
        <v>472.17951023935603</v>
      </c>
      <c r="AP262" s="115"/>
      <c r="AQ262" s="94"/>
      <c r="AR262" s="94"/>
      <c r="AS262" s="94"/>
      <c r="AT262" s="94"/>
      <c r="AU262" s="123"/>
      <c r="AV262" s="124"/>
      <c r="AW262" s="125">
        <f>SUM(AW66:AW98)</f>
        <v>0</v>
      </c>
      <c r="AX262" s="145"/>
      <c r="AY262" s="145"/>
      <c r="AZ262" s="145"/>
      <c r="BA262" s="145"/>
      <c r="BB262" s="145"/>
      <c r="BC262" s="145"/>
      <c r="BD262" s="124"/>
      <c r="BE262" s="125">
        <f>SUM(BE66:BE98)</f>
        <v>0</v>
      </c>
      <c r="BG262" s="115"/>
      <c r="BH262" s="94"/>
      <c r="BI262" s="94"/>
      <c r="BJ262" s="94"/>
      <c r="BK262" s="94"/>
      <c r="BL262" s="123"/>
      <c r="BM262" s="124"/>
      <c r="BN262" s="125">
        <f>SUM(BN66:BN98)</f>
        <v>0</v>
      </c>
      <c r="BO262" s="145"/>
      <c r="BP262" s="145"/>
      <c r="BQ262" s="145"/>
      <c r="BR262" s="145"/>
      <c r="BS262" s="145"/>
      <c r="BT262" s="145"/>
      <c r="BU262" s="124"/>
      <c r="BV262" s="125">
        <f>SUM(BV66:BV98)</f>
        <v>0</v>
      </c>
      <c r="BX262" s="115"/>
      <c r="BY262" s="94"/>
      <c r="BZ262" s="94"/>
      <c r="CA262" s="94"/>
      <c r="CB262" s="94"/>
      <c r="CC262" s="123"/>
      <c r="CD262" s="124"/>
      <c r="CE262" s="125">
        <f>SUM(CE66:CE98)</f>
        <v>0</v>
      </c>
      <c r="CF262" s="145"/>
      <c r="CG262" s="145"/>
      <c r="CH262" s="145"/>
      <c r="CI262" s="145"/>
      <c r="CJ262" s="145"/>
      <c r="CK262" s="145"/>
      <c r="CL262" s="124"/>
      <c r="CM262" s="125">
        <f>SUM(CM66:CM98)</f>
        <v>0</v>
      </c>
      <c r="CN262" s="64"/>
      <c r="CO262" s="63"/>
      <c r="CP262" s="133">
        <f t="shared" si="410"/>
        <v>389.41181933423348</v>
      </c>
      <c r="CQ262" s="3"/>
      <c r="CR262" s="269">
        <f t="shared" si="411"/>
        <v>472.17951023935603</v>
      </c>
      <c r="CT262" s="269"/>
    </row>
    <row r="263" spans="1:101" ht="15" customHeight="1" x14ac:dyDescent="0.2">
      <c r="A263" s="386"/>
      <c r="B263" s="404"/>
      <c r="C263" s="103"/>
      <c r="D263" s="104" t="s">
        <v>42</v>
      </c>
      <c r="E263" s="98" t="s">
        <v>10</v>
      </c>
      <c r="F263" s="310"/>
      <c r="H263" s="115"/>
      <c r="I263" s="94"/>
      <c r="J263" s="94"/>
      <c r="K263" s="94"/>
      <c r="L263" s="94"/>
      <c r="M263" s="123"/>
      <c r="N263" s="124"/>
      <c r="O263" s="125">
        <f>SUM(O100:O119)</f>
        <v>0</v>
      </c>
      <c r="P263" s="145"/>
      <c r="Q263" s="145"/>
      <c r="R263" s="145"/>
      <c r="S263" s="145"/>
      <c r="T263" s="145"/>
      <c r="U263" s="145"/>
      <c r="V263" s="124"/>
      <c r="W263" s="125">
        <f>SUM(W100:W119)</f>
        <v>0</v>
      </c>
      <c r="Y263" s="115"/>
      <c r="Z263" s="94"/>
      <c r="AA263" s="94"/>
      <c r="AB263" s="94"/>
      <c r="AC263" s="94"/>
      <c r="AD263" s="123"/>
      <c r="AE263" s="124"/>
      <c r="AF263" s="125">
        <f>SUM(AF100:AF119)</f>
        <v>100.44101851563222</v>
      </c>
      <c r="AG263" s="145"/>
      <c r="AH263" s="145"/>
      <c r="AI263" s="145"/>
      <c r="AJ263" s="145"/>
      <c r="AK263" s="145"/>
      <c r="AL263" s="145"/>
      <c r="AM263" s="124"/>
      <c r="AN263" s="125">
        <f>SUM(AN100:AN119)</f>
        <v>121.78929497244474</v>
      </c>
      <c r="AP263" s="115"/>
      <c r="AQ263" s="94"/>
      <c r="AR263" s="94"/>
      <c r="AS263" s="94"/>
      <c r="AT263" s="94"/>
      <c r="AU263" s="123"/>
      <c r="AV263" s="124"/>
      <c r="AW263" s="125">
        <f>SUM(AW100:AW119)</f>
        <v>0</v>
      </c>
      <c r="AX263" s="145"/>
      <c r="AY263" s="145"/>
      <c r="AZ263" s="145"/>
      <c r="BA263" s="145"/>
      <c r="BB263" s="145"/>
      <c r="BC263" s="145"/>
      <c r="BD263" s="124"/>
      <c r="BE263" s="125">
        <f>SUM(BE100:BE119)</f>
        <v>0</v>
      </c>
      <c r="BG263" s="115"/>
      <c r="BH263" s="94"/>
      <c r="BI263" s="94"/>
      <c r="BJ263" s="94"/>
      <c r="BK263" s="94"/>
      <c r="BL263" s="123"/>
      <c r="BM263" s="124"/>
      <c r="BN263" s="125">
        <f>SUM(BN100:BN119)</f>
        <v>0</v>
      </c>
      <c r="BO263" s="145"/>
      <c r="BP263" s="145"/>
      <c r="BQ263" s="145"/>
      <c r="BR263" s="145"/>
      <c r="BS263" s="145"/>
      <c r="BT263" s="145"/>
      <c r="BU263" s="124"/>
      <c r="BV263" s="125">
        <f>SUM(BV100:BV119)</f>
        <v>0</v>
      </c>
      <c r="BX263" s="115"/>
      <c r="BY263" s="94"/>
      <c r="BZ263" s="94"/>
      <c r="CA263" s="94"/>
      <c r="CB263" s="94"/>
      <c r="CC263" s="123"/>
      <c r="CD263" s="124"/>
      <c r="CE263" s="125">
        <f>SUM(CE100:CE119)</f>
        <v>0</v>
      </c>
      <c r="CF263" s="145"/>
      <c r="CG263" s="145"/>
      <c r="CH263" s="145"/>
      <c r="CI263" s="145"/>
      <c r="CJ263" s="145"/>
      <c r="CK263" s="145"/>
      <c r="CL263" s="124"/>
      <c r="CM263" s="125">
        <f>SUM(CM100:CM119)</f>
        <v>0</v>
      </c>
      <c r="CN263" s="64"/>
      <c r="CO263" s="63"/>
      <c r="CP263" s="133">
        <f t="shared" si="410"/>
        <v>100.44101851563222</v>
      </c>
      <c r="CQ263" s="3"/>
      <c r="CR263" s="269">
        <f t="shared" si="411"/>
        <v>121.78929497244474</v>
      </c>
      <c r="CT263" s="269"/>
    </row>
    <row r="264" spans="1:101" ht="15" customHeight="1" x14ac:dyDescent="0.2">
      <c r="A264" s="386"/>
      <c r="B264" s="404"/>
      <c r="C264" s="103"/>
      <c r="D264" s="104" t="s">
        <v>543</v>
      </c>
      <c r="E264" s="98" t="s">
        <v>10</v>
      </c>
      <c r="F264" s="310"/>
      <c r="H264" s="115"/>
      <c r="I264" s="94"/>
      <c r="J264" s="94"/>
      <c r="K264" s="94"/>
      <c r="L264" s="94"/>
      <c r="M264" s="123"/>
      <c r="N264" s="124"/>
      <c r="O264" s="125">
        <f>SUM(O130:O157)</f>
        <v>0</v>
      </c>
      <c r="P264" s="145"/>
      <c r="Q264" s="145"/>
      <c r="R264" s="145"/>
      <c r="S264" s="145"/>
      <c r="T264" s="145"/>
      <c r="U264" s="145"/>
      <c r="V264" s="124"/>
      <c r="W264" s="125">
        <f>SUM(W130:W157)</f>
        <v>0</v>
      </c>
      <c r="Y264" s="115"/>
      <c r="Z264" s="94"/>
      <c r="AA264" s="94"/>
      <c r="AB264" s="94"/>
      <c r="AC264" s="94"/>
      <c r="AD264" s="123"/>
      <c r="AE264" s="124"/>
      <c r="AF264" s="125">
        <f>SUM(AF130:AF157)</f>
        <v>129.55765676889192</v>
      </c>
      <c r="AG264" s="145"/>
      <c r="AH264" s="145"/>
      <c r="AI264" s="145"/>
      <c r="AJ264" s="145"/>
      <c r="AK264" s="145"/>
      <c r="AL264" s="145"/>
      <c r="AM264" s="124"/>
      <c r="AN264" s="125">
        <f>SUM(AN130:AN157)</f>
        <v>167.65071983386176</v>
      </c>
      <c r="AP264" s="115"/>
      <c r="AQ264" s="94"/>
      <c r="AR264" s="94"/>
      <c r="AS264" s="94"/>
      <c r="AT264" s="94"/>
      <c r="AU264" s="123"/>
      <c r="AV264" s="124"/>
      <c r="AW264" s="125">
        <f>SUM(AW130:AW157)</f>
        <v>0</v>
      </c>
      <c r="AX264" s="145"/>
      <c r="AY264" s="145"/>
      <c r="AZ264" s="145"/>
      <c r="BA264" s="145"/>
      <c r="BB264" s="145"/>
      <c r="BC264" s="145"/>
      <c r="BD264" s="124"/>
      <c r="BE264" s="125">
        <f>SUM(BE130:BE157)</f>
        <v>0</v>
      </c>
      <c r="BG264" s="115"/>
      <c r="BH264" s="94"/>
      <c r="BI264" s="94"/>
      <c r="BJ264" s="94"/>
      <c r="BK264" s="94"/>
      <c r="BL264" s="123"/>
      <c r="BM264" s="124"/>
      <c r="BN264" s="125">
        <f>SUM(BN130:BN157)</f>
        <v>0</v>
      </c>
      <c r="BO264" s="145"/>
      <c r="BP264" s="145"/>
      <c r="BQ264" s="145"/>
      <c r="BR264" s="145"/>
      <c r="BS264" s="145"/>
      <c r="BT264" s="145"/>
      <c r="BU264" s="124"/>
      <c r="BV264" s="125">
        <f>SUM(BV130:BV157)</f>
        <v>0</v>
      </c>
      <c r="BX264" s="115"/>
      <c r="BY264" s="94"/>
      <c r="BZ264" s="94"/>
      <c r="CA264" s="94"/>
      <c r="CB264" s="94"/>
      <c r="CC264" s="123"/>
      <c r="CD264" s="124"/>
      <c r="CE264" s="125">
        <f>SUM(CE130:CE157)</f>
        <v>0</v>
      </c>
      <c r="CF264" s="145"/>
      <c r="CG264" s="145"/>
      <c r="CH264" s="145"/>
      <c r="CI264" s="145"/>
      <c r="CJ264" s="145"/>
      <c r="CK264" s="145"/>
      <c r="CL264" s="124"/>
      <c r="CM264" s="125">
        <f>SUM(CM130:CM157)</f>
        <v>0</v>
      </c>
      <c r="CN264" s="64"/>
      <c r="CO264" s="63"/>
      <c r="CP264" s="133">
        <f t="shared" si="410"/>
        <v>129.55765676889192</v>
      </c>
      <c r="CQ264" s="3"/>
      <c r="CR264" s="269">
        <f t="shared" si="411"/>
        <v>167.65071983386176</v>
      </c>
      <c r="CT264" s="269"/>
    </row>
    <row r="265" spans="1:101" ht="15" customHeight="1" x14ac:dyDescent="0.2">
      <c r="A265" s="386"/>
      <c r="B265" s="404"/>
      <c r="C265" s="103"/>
      <c r="D265" s="104" t="s">
        <v>80</v>
      </c>
      <c r="E265" s="98" t="s">
        <v>10</v>
      </c>
      <c r="F265" s="310"/>
      <c r="H265" s="115"/>
      <c r="I265" s="94"/>
      <c r="J265" s="94"/>
      <c r="K265" s="94"/>
      <c r="L265" s="94"/>
      <c r="M265" s="123"/>
      <c r="N265" s="124"/>
      <c r="O265" s="125">
        <f>SUM(O166:O174)</f>
        <v>0</v>
      </c>
      <c r="P265" s="145"/>
      <c r="Q265" s="145"/>
      <c r="R265" s="145"/>
      <c r="S265" s="145"/>
      <c r="T265" s="145"/>
      <c r="U265" s="145"/>
      <c r="V265" s="124"/>
      <c r="W265" s="125">
        <f>SUM(W166:W174)</f>
        <v>0</v>
      </c>
      <c r="Y265" s="115"/>
      <c r="Z265" s="94"/>
      <c r="AA265" s="94"/>
      <c r="AB265" s="94"/>
      <c r="AC265" s="94"/>
      <c r="AD265" s="123"/>
      <c r="AE265" s="124"/>
      <c r="AF265" s="125">
        <f>SUM(AF166:AF174)</f>
        <v>0</v>
      </c>
      <c r="AG265" s="145"/>
      <c r="AH265" s="145"/>
      <c r="AI265" s="145"/>
      <c r="AJ265" s="145"/>
      <c r="AK265" s="145"/>
      <c r="AL265" s="145"/>
      <c r="AM265" s="124"/>
      <c r="AN265" s="125">
        <f>SUM(AN166:AN174)</f>
        <v>0</v>
      </c>
      <c r="AP265" s="115"/>
      <c r="AQ265" s="94"/>
      <c r="AR265" s="94"/>
      <c r="AS265" s="94"/>
      <c r="AT265" s="94"/>
      <c r="AU265" s="123"/>
      <c r="AV265" s="124"/>
      <c r="AW265" s="125">
        <f>SUM(AW166:AW174)</f>
        <v>0</v>
      </c>
      <c r="AX265" s="145"/>
      <c r="AY265" s="145"/>
      <c r="AZ265" s="145"/>
      <c r="BA265" s="145"/>
      <c r="BB265" s="145"/>
      <c r="BC265" s="145"/>
      <c r="BD265" s="124"/>
      <c r="BE265" s="125">
        <f>SUM(BE166:BE174)</f>
        <v>0</v>
      </c>
      <c r="BG265" s="115"/>
      <c r="BH265" s="94"/>
      <c r="BI265" s="94"/>
      <c r="BJ265" s="94"/>
      <c r="BK265" s="310"/>
      <c r="BL265" s="123"/>
      <c r="BM265" s="124"/>
      <c r="BN265" s="267">
        <f>SUM(BN166:BN174)</f>
        <v>0</v>
      </c>
      <c r="BO265" s="145"/>
      <c r="BP265" s="145"/>
      <c r="BQ265" s="145"/>
      <c r="BR265" s="145"/>
      <c r="BS265" s="145"/>
      <c r="BT265" s="145"/>
      <c r="BU265" s="124"/>
      <c r="BV265" s="125">
        <f>SUM(BV166:BV174)</f>
        <v>0</v>
      </c>
      <c r="BX265" s="115"/>
      <c r="BY265" s="94"/>
      <c r="BZ265" s="94"/>
      <c r="CA265" s="94"/>
      <c r="CB265" s="94"/>
      <c r="CC265" s="123"/>
      <c r="CD265" s="124"/>
      <c r="CE265" s="125">
        <f>SUM(CE166:CE174)</f>
        <v>0</v>
      </c>
      <c r="CF265" s="145"/>
      <c r="CG265" s="145"/>
      <c r="CH265" s="145"/>
      <c r="CI265" s="145"/>
      <c r="CJ265" s="145"/>
      <c r="CK265" s="145"/>
      <c r="CL265" s="124"/>
      <c r="CM265" s="125">
        <f>SUM(CM166:CM174)</f>
        <v>0</v>
      </c>
      <c r="CN265" s="64"/>
      <c r="CO265" s="63"/>
      <c r="CP265" s="133">
        <f t="shared" si="410"/>
        <v>0</v>
      </c>
      <c r="CQ265" s="3"/>
      <c r="CR265" s="269">
        <f t="shared" si="411"/>
        <v>0</v>
      </c>
      <c r="CT265" s="269"/>
    </row>
    <row r="266" spans="1:101" ht="15" customHeight="1" x14ac:dyDescent="0.2">
      <c r="A266" s="386"/>
      <c r="B266" s="404"/>
      <c r="C266" s="103"/>
      <c r="D266" s="104" t="s">
        <v>542</v>
      </c>
      <c r="E266" s="98" t="s">
        <v>10</v>
      </c>
      <c r="F266" s="310"/>
      <c r="H266" s="115"/>
      <c r="I266" s="94"/>
      <c r="J266" s="94"/>
      <c r="K266" s="94"/>
      <c r="L266" s="94"/>
      <c r="M266" s="123"/>
      <c r="N266" s="124"/>
      <c r="O266" s="125">
        <f>SUM(O176:O191)</f>
        <v>0</v>
      </c>
      <c r="P266" s="145"/>
      <c r="Q266" s="145"/>
      <c r="R266" s="145"/>
      <c r="S266" s="145"/>
      <c r="T266" s="145"/>
      <c r="U266" s="145"/>
      <c r="V266" s="124"/>
      <c r="W266" s="125">
        <f>SUM(W176:W191)</f>
        <v>0</v>
      </c>
      <c r="Y266" s="115"/>
      <c r="Z266" s="94"/>
      <c r="AA266" s="94"/>
      <c r="AB266" s="94"/>
      <c r="AC266" s="94"/>
      <c r="AD266" s="123"/>
      <c r="AE266" s="124"/>
      <c r="AF266" s="125">
        <f>SUM(AF176:AF191)</f>
        <v>0.41626553654482046</v>
      </c>
      <c r="AG266" s="145"/>
      <c r="AH266" s="145"/>
      <c r="AI266" s="145"/>
      <c r="AJ266" s="145"/>
      <c r="AK266" s="145"/>
      <c r="AL266" s="145"/>
      <c r="AM266" s="124"/>
      <c r="AN266" s="125">
        <f>SUM(AN176:AN191)</f>
        <v>0.4950491508360384</v>
      </c>
      <c r="AP266" s="115"/>
      <c r="AQ266" s="94"/>
      <c r="AR266" s="94"/>
      <c r="AS266" s="94"/>
      <c r="AT266" s="94"/>
      <c r="AU266" s="123"/>
      <c r="AV266" s="124"/>
      <c r="AW266" s="125">
        <f>SUM(AW176:AW191)</f>
        <v>0</v>
      </c>
      <c r="AX266" s="145"/>
      <c r="AY266" s="145"/>
      <c r="AZ266" s="145"/>
      <c r="BA266" s="145"/>
      <c r="BB266" s="145"/>
      <c r="BC266" s="145"/>
      <c r="BD266" s="124"/>
      <c r="BE266" s="125">
        <f>SUM(BE176:BE191)</f>
        <v>0</v>
      </c>
      <c r="BG266" s="115"/>
      <c r="BH266" s="94"/>
      <c r="BI266" s="94"/>
      <c r="BJ266" s="94"/>
      <c r="BK266" s="310"/>
      <c r="BL266" s="123"/>
      <c r="BM266" s="124"/>
      <c r="BN266" s="267">
        <f>SUM(BN176:BN191)</f>
        <v>0</v>
      </c>
      <c r="BO266" s="145"/>
      <c r="BP266" s="145"/>
      <c r="BQ266" s="145"/>
      <c r="BR266" s="145"/>
      <c r="BS266" s="145"/>
      <c r="BT266" s="145"/>
      <c r="BU266" s="124"/>
      <c r="BV266" s="125">
        <f>SUM(BV176:BV191)</f>
        <v>0</v>
      </c>
      <c r="BX266" s="115"/>
      <c r="BY266" s="94"/>
      <c r="BZ266" s="94"/>
      <c r="CA266" s="94"/>
      <c r="CB266" s="94"/>
      <c r="CC266" s="123"/>
      <c r="CD266" s="124"/>
      <c r="CE266" s="125">
        <f>SUM(CE176:CE191)</f>
        <v>0</v>
      </c>
      <c r="CF266" s="145"/>
      <c r="CG266" s="145"/>
      <c r="CH266" s="145"/>
      <c r="CI266" s="145"/>
      <c r="CJ266" s="145"/>
      <c r="CK266" s="145"/>
      <c r="CL266" s="124"/>
      <c r="CM266" s="125">
        <f>SUM(CM176:CM191)</f>
        <v>0</v>
      </c>
      <c r="CN266" s="64"/>
      <c r="CO266" s="63"/>
      <c r="CP266" s="133">
        <f t="shared" si="410"/>
        <v>0.41626553654482046</v>
      </c>
      <c r="CQ266" s="3"/>
      <c r="CR266" s="269">
        <f t="shared" si="411"/>
        <v>0.4950491508360384</v>
      </c>
      <c r="CT266" s="269"/>
    </row>
    <row r="267" spans="1:101" ht="15" customHeight="1" x14ac:dyDescent="0.2">
      <c r="A267" s="386"/>
      <c r="B267" s="404"/>
      <c r="C267" s="103"/>
      <c r="D267" s="104" t="s">
        <v>45</v>
      </c>
      <c r="E267" s="98" t="s">
        <v>10</v>
      </c>
      <c r="F267" s="310"/>
      <c r="H267" s="115"/>
      <c r="I267" s="94"/>
      <c r="J267" s="94"/>
      <c r="K267" s="94"/>
      <c r="L267" s="94"/>
      <c r="M267" s="123"/>
      <c r="N267" s="124"/>
      <c r="O267" s="125">
        <f>SUM(O215:O223)</f>
        <v>0</v>
      </c>
      <c r="P267" s="145"/>
      <c r="Q267" s="145"/>
      <c r="R267" s="145"/>
      <c r="S267" s="145"/>
      <c r="T267" s="145"/>
      <c r="U267" s="145"/>
      <c r="V267" s="124"/>
      <c r="W267" s="125">
        <f>SUM(W215:W223)</f>
        <v>0</v>
      </c>
      <c r="Y267" s="115"/>
      <c r="Z267" s="94"/>
      <c r="AA267" s="94"/>
      <c r="AB267" s="94"/>
      <c r="AC267" s="94"/>
      <c r="AD267" s="123"/>
      <c r="AE267" s="124"/>
      <c r="AF267" s="125">
        <f>SUM(AF215:AF223)</f>
        <v>177.60147732383723</v>
      </c>
      <c r="AG267" s="145"/>
      <c r="AH267" s="145"/>
      <c r="AI267" s="145"/>
      <c r="AJ267" s="145"/>
      <c r="AK267" s="145"/>
      <c r="AL267" s="145"/>
      <c r="AM267" s="124"/>
      <c r="AN267" s="125">
        <f>SUM(AN215:AN223)</f>
        <v>236.52256901540619</v>
      </c>
      <c r="AP267" s="115"/>
      <c r="AQ267" s="94"/>
      <c r="AR267" s="94"/>
      <c r="AS267" s="94"/>
      <c r="AT267" s="94"/>
      <c r="AU267" s="123"/>
      <c r="AV267" s="124"/>
      <c r="AW267" s="125">
        <f>SUM(AW215:AW223)</f>
        <v>0</v>
      </c>
      <c r="AX267" s="145"/>
      <c r="AY267" s="145"/>
      <c r="AZ267" s="145"/>
      <c r="BA267" s="145"/>
      <c r="BB267" s="145"/>
      <c r="BC267" s="145"/>
      <c r="BD267" s="124"/>
      <c r="BE267" s="125">
        <f>SUM(BE215:BE223)</f>
        <v>0</v>
      </c>
      <c r="BG267" s="115"/>
      <c r="BH267" s="94"/>
      <c r="BI267" s="94"/>
      <c r="BJ267" s="94"/>
      <c r="BK267" s="94"/>
      <c r="BL267" s="123"/>
      <c r="BM267" s="124"/>
      <c r="BN267" s="125">
        <f>SUM(BN215:BN223)</f>
        <v>0</v>
      </c>
      <c r="BO267" s="145"/>
      <c r="BP267" s="145"/>
      <c r="BQ267" s="145"/>
      <c r="BR267" s="145"/>
      <c r="BS267" s="145"/>
      <c r="BT267" s="145"/>
      <c r="BU267" s="124"/>
      <c r="BV267" s="125">
        <f>SUM(BV215:BV223)</f>
        <v>0</v>
      </c>
      <c r="BX267" s="115"/>
      <c r="BY267" s="94"/>
      <c r="BZ267" s="94"/>
      <c r="CA267" s="94"/>
      <c r="CB267" s="94"/>
      <c r="CC267" s="123"/>
      <c r="CD267" s="124"/>
      <c r="CE267" s="125">
        <f>SUM(CE215:CE223)</f>
        <v>0</v>
      </c>
      <c r="CF267" s="145"/>
      <c r="CG267" s="145"/>
      <c r="CH267" s="145"/>
      <c r="CI267" s="145"/>
      <c r="CJ267" s="145"/>
      <c r="CK267" s="145"/>
      <c r="CL267" s="124"/>
      <c r="CM267" s="125">
        <f>SUM(CM215:CM223)</f>
        <v>0</v>
      </c>
      <c r="CN267" s="64"/>
      <c r="CO267" s="63"/>
      <c r="CP267" s="133">
        <f t="shared" si="410"/>
        <v>177.60147732383723</v>
      </c>
      <c r="CQ267" s="3"/>
      <c r="CR267" s="269">
        <f t="shared" si="411"/>
        <v>236.52256901540619</v>
      </c>
      <c r="CT267" s="269"/>
    </row>
    <row r="268" spans="1:101" ht="15" customHeight="1" x14ac:dyDescent="0.2">
      <c r="A268" s="386"/>
      <c r="B268" s="404"/>
      <c r="C268" s="103"/>
      <c r="D268" s="104" t="s">
        <v>441</v>
      </c>
      <c r="E268" s="98" t="s">
        <v>10</v>
      </c>
      <c r="F268" s="310"/>
      <c r="H268" s="115"/>
      <c r="I268" s="94"/>
      <c r="J268" s="94"/>
      <c r="K268" s="94"/>
      <c r="L268" s="94"/>
      <c r="M268" s="123"/>
      <c r="N268" s="124"/>
      <c r="O268" s="125">
        <f>SUM(O159:O164)</f>
        <v>0</v>
      </c>
      <c r="P268" s="145"/>
      <c r="Q268" s="145"/>
      <c r="R268" s="145"/>
      <c r="S268" s="145"/>
      <c r="T268" s="145"/>
      <c r="U268" s="145"/>
      <c r="V268" s="124"/>
      <c r="W268" s="125">
        <f>SUM(W159:W164)</f>
        <v>0</v>
      </c>
      <c r="Y268" s="115"/>
      <c r="Z268" s="94"/>
      <c r="AA268" s="94"/>
      <c r="AB268" s="94"/>
      <c r="AC268" s="94"/>
      <c r="AD268" s="123"/>
      <c r="AE268" s="124"/>
      <c r="AF268" s="125">
        <f>SUM(AF159:AF164)</f>
        <v>2.3300106878144233</v>
      </c>
      <c r="AG268" s="145"/>
      <c r="AH268" s="145"/>
      <c r="AI268" s="145"/>
      <c r="AJ268" s="145"/>
      <c r="AK268" s="145"/>
      <c r="AL268" s="145"/>
      <c r="AM268" s="124"/>
      <c r="AN268" s="125">
        <f>SUM(AN159:AN164)</f>
        <v>2.8257238168623333</v>
      </c>
      <c r="AP268" s="115"/>
      <c r="AQ268" s="94"/>
      <c r="AR268" s="94"/>
      <c r="AS268" s="94"/>
      <c r="AT268" s="94"/>
      <c r="AU268" s="123"/>
      <c r="AV268" s="124"/>
      <c r="AW268" s="125">
        <f>SUM(AW159:AW164)</f>
        <v>0</v>
      </c>
      <c r="AX268" s="145"/>
      <c r="AY268" s="145"/>
      <c r="AZ268" s="145"/>
      <c r="BA268" s="145"/>
      <c r="BB268" s="145"/>
      <c r="BC268" s="145"/>
      <c r="BD268" s="124"/>
      <c r="BE268" s="125">
        <f>SUM(BE159:BE164)</f>
        <v>0</v>
      </c>
      <c r="BG268" s="115"/>
      <c r="BH268" s="94"/>
      <c r="BI268" s="94"/>
      <c r="BJ268" s="94"/>
      <c r="BK268" s="94"/>
      <c r="BL268" s="123"/>
      <c r="BM268" s="124"/>
      <c r="BN268" s="125">
        <f>SUM(BN159:BN164)</f>
        <v>0</v>
      </c>
      <c r="BO268" s="145"/>
      <c r="BP268" s="145"/>
      <c r="BQ268" s="145"/>
      <c r="BR268" s="145"/>
      <c r="BS268" s="145"/>
      <c r="BT268" s="145"/>
      <c r="BU268" s="124"/>
      <c r="BV268" s="125">
        <f>SUM(BV159:BV164)</f>
        <v>0</v>
      </c>
      <c r="BX268" s="115"/>
      <c r="BY268" s="94"/>
      <c r="BZ268" s="94"/>
      <c r="CA268" s="94"/>
      <c r="CB268" s="94"/>
      <c r="CC268" s="123"/>
      <c r="CD268" s="124"/>
      <c r="CE268" s="125">
        <f>SUM(CE159:CE164)</f>
        <v>0</v>
      </c>
      <c r="CF268" s="145"/>
      <c r="CG268" s="145"/>
      <c r="CH268" s="145"/>
      <c r="CI268" s="145"/>
      <c r="CJ268" s="145"/>
      <c r="CK268" s="145"/>
      <c r="CL268" s="124"/>
      <c r="CM268" s="125">
        <f>SUM(CM159:CM164)</f>
        <v>0</v>
      </c>
      <c r="CN268" s="64"/>
      <c r="CO268" s="63"/>
      <c r="CP268" s="133">
        <f t="shared" si="410"/>
        <v>2.3300106878144233</v>
      </c>
      <c r="CQ268" s="3"/>
      <c r="CR268" s="269">
        <f t="shared" si="411"/>
        <v>2.8257238168623333</v>
      </c>
      <c r="CT268" s="269"/>
    </row>
    <row r="269" spans="1:101" ht="15" customHeight="1" x14ac:dyDescent="0.2">
      <c r="A269" s="386"/>
      <c r="B269" s="404"/>
      <c r="C269" s="103"/>
      <c r="D269" s="104" t="s">
        <v>392</v>
      </c>
      <c r="E269" s="98" t="s">
        <v>10</v>
      </c>
      <c r="F269" s="310"/>
      <c r="H269" s="115"/>
      <c r="I269" s="94"/>
      <c r="J269" s="94"/>
      <c r="K269" s="94"/>
      <c r="L269" s="94"/>
      <c r="M269" s="123"/>
      <c r="N269" s="124"/>
      <c r="O269" s="125">
        <f>SUM(O121:O128,O200:O213)</f>
        <v>0</v>
      </c>
      <c r="P269" s="145"/>
      <c r="Q269" s="145"/>
      <c r="R269" s="145"/>
      <c r="S269" s="145"/>
      <c r="T269" s="145"/>
      <c r="U269" s="145"/>
      <c r="V269" s="124"/>
      <c r="W269" s="125">
        <f>SUM(W121:W128,W200:W213)</f>
        <v>0</v>
      </c>
      <c r="Y269" s="115"/>
      <c r="Z269" s="94"/>
      <c r="AA269" s="94"/>
      <c r="AB269" s="94"/>
      <c r="AC269" s="94"/>
      <c r="AD269" s="123"/>
      <c r="AE269" s="124"/>
      <c r="AF269" s="125">
        <f>SUM(AF121:AF128,AF200:AF213)</f>
        <v>121.7229313300997</v>
      </c>
      <c r="AG269" s="145"/>
      <c r="AH269" s="145"/>
      <c r="AI269" s="145"/>
      <c r="AJ269" s="145"/>
      <c r="AK269" s="145"/>
      <c r="AL269" s="145"/>
      <c r="AM269" s="124"/>
      <c r="AN269" s="125">
        <f>SUM(AN121:AN128,AN200:AN213)</f>
        <v>144.31571124177691</v>
      </c>
      <c r="AP269" s="115"/>
      <c r="AQ269" s="94"/>
      <c r="AR269" s="94"/>
      <c r="AS269" s="94"/>
      <c r="AT269" s="94"/>
      <c r="AU269" s="123"/>
      <c r="AV269" s="124"/>
      <c r="AW269" s="125">
        <f>SUM(AW121:AW128,AW200:AW213)</f>
        <v>0</v>
      </c>
      <c r="AX269" s="145"/>
      <c r="AY269" s="145"/>
      <c r="AZ269" s="145"/>
      <c r="BA269" s="145"/>
      <c r="BB269" s="145"/>
      <c r="BC269" s="145"/>
      <c r="BD269" s="124"/>
      <c r="BE269" s="125">
        <f>SUM(BE121:BE128,BE200:BE213)</f>
        <v>0</v>
      </c>
      <c r="BG269" s="115"/>
      <c r="BH269" s="94"/>
      <c r="BI269" s="94"/>
      <c r="BJ269" s="94"/>
      <c r="BK269" s="94"/>
      <c r="BL269" s="123"/>
      <c r="BM269" s="124"/>
      <c r="BN269" s="125">
        <f>SUM(BN121:BN128,BN200:BN213)</f>
        <v>0</v>
      </c>
      <c r="BO269" s="145"/>
      <c r="BP269" s="145"/>
      <c r="BQ269" s="145"/>
      <c r="BR269" s="145"/>
      <c r="BS269" s="145"/>
      <c r="BT269" s="145"/>
      <c r="BU269" s="124"/>
      <c r="BV269" s="125">
        <f>SUM(BV121:BV128,BV200:BV213)</f>
        <v>0</v>
      </c>
      <c r="BX269" s="115"/>
      <c r="BY269" s="94"/>
      <c r="BZ269" s="94"/>
      <c r="CA269" s="94"/>
      <c r="CB269" s="94"/>
      <c r="CC269" s="123"/>
      <c r="CD269" s="124"/>
      <c r="CE269" s="125">
        <f>SUM(CE121:CE128,CE200:CE213)</f>
        <v>0</v>
      </c>
      <c r="CF269" s="145"/>
      <c r="CG269" s="145"/>
      <c r="CH269" s="145"/>
      <c r="CI269" s="145"/>
      <c r="CJ269" s="145"/>
      <c r="CK269" s="145"/>
      <c r="CL269" s="124"/>
      <c r="CM269" s="125">
        <f>SUM(CM121:CM128,CM200:CM213)</f>
        <v>0</v>
      </c>
      <c r="CN269" s="64"/>
      <c r="CO269" s="63"/>
      <c r="CP269" s="133">
        <f t="shared" si="410"/>
        <v>121.7229313300997</v>
      </c>
      <c r="CQ269" s="3"/>
      <c r="CR269" s="269">
        <f t="shared" si="411"/>
        <v>144.31571124177691</v>
      </c>
      <c r="CT269" s="269"/>
    </row>
    <row r="270" spans="1:101" ht="15" customHeight="1" thickBot="1" x14ac:dyDescent="0.25">
      <c r="A270" s="386"/>
      <c r="B270" s="405"/>
      <c r="C270" s="105"/>
      <c r="D270" s="106" t="s">
        <v>393</v>
      </c>
      <c r="E270" s="107" t="s">
        <v>10</v>
      </c>
      <c r="F270" s="310"/>
      <c r="H270" s="115"/>
      <c r="I270" s="94"/>
      <c r="J270" s="94"/>
      <c r="K270" s="94"/>
      <c r="L270" s="94"/>
      <c r="M270" s="126"/>
      <c r="N270" s="127"/>
      <c r="O270" s="125">
        <f>SUM(O193:O198)</f>
        <v>0</v>
      </c>
      <c r="P270" s="146"/>
      <c r="Q270" s="146"/>
      <c r="R270" s="146"/>
      <c r="S270" s="146"/>
      <c r="T270" s="146"/>
      <c r="U270" s="146"/>
      <c r="V270" s="127"/>
      <c r="W270" s="125">
        <f>SUM(W193:W198)</f>
        <v>0</v>
      </c>
      <c r="Y270" s="115"/>
      <c r="Z270" s="94"/>
      <c r="AA270" s="94"/>
      <c r="AB270" s="94"/>
      <c r="AC270" s="94"/>
      <c r="AD270" s="126"/>
      <c r="AE270" s="127"/>
      <c r="AF270" s="125">
        <f>SUM(AF193:AF198)</f>
        <v>0</v>
      </c>
      <c r="AG270" s="146"/>
      <c r="AH270" s="146"/>
      <c r="AI270" s="146"/>
      <c r="AJ270" s="146"/>
      <c r="AK270" s="146"/>
      <c r="AL270" s="146"/>
      <c r="AM270" s="127"/>
      <c r="AN270" s="125">
        <f>SUM(AN193:AN198)</f>
        <v>0</v>
      </c>
      <c r="AP270" s="115"/>
      <c r="AQ270" s="94"/>
      <c r="AR270" s="94"/>
      <c r="AS270" s="94"/>
      <c r="AT270" s="94"/>
      <c r="AU270" s="126"/>
      <c r="AV270" s="127"/>
      <c r="AW270" s="125">
        <f>SUM(AW193:AW198)</f>
        <v>0</v>
      </c>
      <c r="AX270" s="146"/>
      <c r="AY270" s="146"/>
      <c r="AZ270" s="146"/>
      <c r="BA270" s="146"/>
      <c r="BB270" s="146"/>
      <c r="BC270" s="146"/>
      <c r="BD270" s="127"/>
      <c r="BE270" s="125">
        <f>SUM(BE193:BE198)</f>
        <v>0</v>
      </c>
      <c r="BG270" s="115"/>
      <c r="BH270" s="94"/>
      <c r="BI270" s="94"/>
      <c r="BJ270" s="94"/>
      <c r="BK270" s="94"/>
      <c r="BL270" s="126"/>
      <c r="BM270" s="127"/>
      <c r="BN270" s="125">
        <f>SUM(BN193:BN198)</f>
        <v>0</v>
      </c>
      <c r="BO270" s="146"/>
      <c r="BP270" s="146"/>
      <c r="BQ270" s="146"/>
      <c r="BR270" s="146"/>
      <c r="BS270" s="146"/>
      <c r="BT270" s="146"/>
      <c r="BU270" s="127"/>
      <c r="BV270" s="125">
        <f>SUM(BV193:BV198)</f>
        <v>0</v>
      </c>
      <c r="BX270" s="115"/>
      <c r="BY270" s="94"/>
      <c r="BZ270" s="94"/>
      <c r="CA270" s="94"/>
      <c r="CB270" s="94"/>
      <c r="CC270" s="126"/>
      <c r="CD270" s="127"/>
      <c r="CE270" s="125">
        <f>SUM(CE193:CE198)</f>
        <v>0</v>
      </c>
      <c r="CF270" s="146"/>
      <c r="CG270" s="146"/>
      <c r="CH270" s="146"/>
      <c r="CI270" s="146"/>
      <c r="CJ270" s="146"/>
      <c r="CK270" s="146"/>
      <c r="CL270" s="127"/>
      <c r="CM270" s="125">
        <f>SUM(CM193:CM198)</f>
        <v>0</v>
      </c>
      <c r="CN270" s="64"/>
      <c r="CO270" s="63"/>
      <c r="CP270" s="133">
        <f t="shared" si="410"/>
        <v>0</v>
      </c>
      <c r="CQ270" s="3"/>
      <c r="CR270" s="269">
        <f t="shared" si="411"/>
        <v>0</v>
      </c>
      <c r="CT270" s="269"/>
    </row>
    <row r="271" spans="1:101" ht="21.75" customHeight="1" thickBot="1" x14ac:dyDescent="0.25">
      <c r="A271" s="386"/>
      <c r="B271" s="418" t="s">
        <v>444</v>
      </c>
      <c r="C271" s="108"/>
      <c r="D271" s="278" t="s">
        <v>327</v>
      </c>
      <c r="E271" s="279" t="s">
        <v>10</v>
      </c>
      <c r="F271" s="310"/>
      <c r="H271" s="115"/>
      <c r="I271" s="94"/>
      <c r="J271" s="94"/>
      <c r="K271" s="94"/>
      <c r="L271" s="94"/>
      <c r="M271" s="118"/>
      <c r="N271" s="119"/>
      <c r="O271" s="280">
        <f>SUM(O259:O270)</f>
        <v>15.86527502425907</v>
      </c>
      <c r="P271" s="147"/>
      <c r="Q271" s="147"/>
      <c r="R271" s="147"/>
      <c r="S271" s="147"/>
      <c r="T271" s="147"/>
      <c r="U271" s="147"/>
      <c r="V271" s="119"/>
      <c r="W271" s="280">
        <f>SUM(W259:W270)</f>
        <v>21.478903512120606</v>
      </c>
      <c r="Y271" s="115"/>
      <c r="Z271" s="94"/>
      <c r="AA271" s="94"/>
      <c r="AB271" s="94"/>
      <c r="AC271" s="94"/>
      <c r="AD271" s="118"/>
      <c r="AE271" s="119"/>
      <c r="AF271" s="280">
        <f>SUM(AF259:AF270)</f>
        <v>1548.2163901627096</v>
      </c>
      <c r="AG271" s="147"/>
      <c r="AH271" s="147"/>
      <c r="AI271" s="147"/>
      <c r="AJ271" s="147"/>
      <c r="AK271" s="147"/>
      <c r="AL271" s="147"/>
      <c r="AM271" s="119"/>
      <c r="AN271" s="280">
        <f>SUM(AN259:AN270)</f>
        <v>1990.3839109097937</v>
      </c>
      <c r="AP271" s="115"/>
      <c r="AQ271" s="94"/>
      <c r="AR271" s="94"/>
      <c r="AS271" s="94"/>
      <c r="AT271" s="94"/>
      <c r="AU271" s="118"/>
      <c r="AV271" s="119"/>
      <c r="AW271" s="280">
        <f>SUM(AW259:AW270)</f>
        <v>1.8899393943901661</v>
      </c>
      <c r="AX271" s="147"/>
      <c r="AY271" s="147"/>
      <c r="AZ271" s="147"/>
      <c r="BA271" s="147"/>
      <c r="BB271" s="147"/>
      <c r="BC271" s="147"/>
      <c r="BD271" s="119"/>
      <c r="BE271" s="280">
        <f>SUM(BE259:BE270)</f>
        <v>2.5586588214696149</v>
      </c>
      <c r="BG271" s="115"/>
      <c r="BH271" s="94"/>
      <c r="BI271" s="94"/>
      <c r="BJ271" s="94"/>
      <c r="BK271" s="94"/>
      <c r="BL271" s="118"/>
      <c r="BM271" s="119"/>
      <c r="BN271" s="280">
        <f>SUM(BN259:BN270)</f>
        <v>0</v>
      </c>
      <c r="BO271" s="147"/>
      <c r="BP271" s="147"/>
      <c r="BQ271" s="147"/>
      <c r="BR271" s="147"/>
      <c r="BS271" s="147"/>
      <c r="BT271" s="147"/>
      <c r="BU271" s="119"/>
      <c r="BV271" s="280">
        <f>SUM(BV259:BV270)</f>
        <v>0</v>
      </c>
      <c r="BX271" s="115"/>
      <c r="BY271" s="94"/>
      <c r="BZ271" s="94"/>
      <c r="CA271" s="94"/>
      <c r="CB271" s="94"/>
      <c r="CC271" s="118"/>
      <c r="CD271" s="119"/>
      <c r="CE271" s="280">
        <f>SUM(CE259:CE270)</f>
        <v>0</v>
      </c>
      <c r="CF271" s="147"/>
      <c r="CG271" s="147"/>
      <c r="CH271" s="147"/>
      <c r="CI271" s="147"/>
      <c r="CJ271" s="147"/>
      <c r="CK271" s="147"/>
      <c r="CL271" s="119"/>
      <c r="CM271" s="280">
        <f>SUM(CM259:CM270)</f>
        <v>0</v>
      </c>
      <c r="CN271" s="64"/>
      <c r="CO271" s="63"/>
      <c r="CP271" s="281">
        <f t="shared" si="410"/>
        <v>1565.9716045813589</v>
      </c>
      <c r="CQ271" s="3"/>
      <c r="CR271" s="281">
        <f>W271+AN271+BE271+BV271+CM271</f>
        <v>2014.4214732433838</v>
      </c>
      <c r="CT271" s="281"/>
    </row>
    <row r="272" spans="1:101" ht="15" customHeight="1" x14ac:dyDescent="0.2">
      <c r="A272" s="386"/>
      <c r="B272" s="418"/>
      <c r="C272" s="100"/>
      <c r="D272" s="101" t="s">
        <v>442</v>
      </c>
      <c r="E272" s="97" t="s">
        <v>10</v>
      </c>
      <c r="F272" s="310"/>
      <c r="H272" s="115"/>
      <c r="I272" s="94"/>
      <c r="J272" s="94"/>
      <c r="K272" s="94"/>
      <c r="L272" s="94"/>
      <c r="M272" s="120"/>
      <c r="N272" s="121"/>
      <c r="O272" s="122">
        <f>O250+O251</f>
        <v>1.5072011273046118</v>
      </c>
      <c r="P272" s="144"/>
      <c r="Q272" s="144"/>
      <c r="R272" s="144"/>
      <c r="S272" s="144"/>
      <c r="T272" s="144"/>
      <c r="U272" s="144"/>
      <c r="V272" s="121"/>
      <c r="W272" s="122">
        <f>W250+W251</f>
        <v>2.040495833651458</v>
      </c>
      <c r="Y272" s="115"/>
      <c r="Z272" s="94"/>
      <c r="AA272" s="94"/>
      <c r="AB272" s="94"/>
      <c r="AC272" s="94"/>
      <c r="AD272" s="120"/>
      <c r="AE272" s="121"/>
      <c r="AF272" s="122">
        <f>AF250+AF251</f>
        <v>147.08055706545741</v>
      </c>
      <c r="AG272" s="144"/>
      <c r="AH272" s="144"/>
      <c r="AI272" s="144"/>
      <c r="AJ272" s="144"/>
      <c r="AK272" s="144"/>
      <c r="AL272" s="144"/>
      <c r="AM272" s="121"/>
      <c r="AN272" s="122">
        <f>AN250+AN251</f>
        <v>189.08647153643039</v>
      </c>
      <c r="AP272" s="115"/>
      <c r="AQ272" s="94"/>
      <c r="AR272" s="94"/>
      <c r="AS272" s="94"/>
      <c r="AT272" s="94"/>
      <c r="AU272" s="120"/>
      <c r="AV272" s="121"/>
      <c r="AW272" s="122">
        <f>AW250+AW251</f>
        <v>0.1795442424670658</v>
      </c>
      <c r="AX272" s="144"/>
      <c r="AY272" s="144"/>
      <c r="AZ272" s="144"/>
      <c r="BA272" s="144"/>
      <c r="BB272" s="144"/>
      <c r="BC272" s="144"/>
      <c r="BD272" s="121"/>
      <c r="BE272" s="122">
        <f>BE250+BE251</f>
        <v>0.24307258803961343</v>
      </c>
      <c r="BG272" s="115"/>
      <c r="BH272" s="94"/>
      <c r="BI272" s="94"/>
      <c r="BJ272" s="94"/>
      <c r="BK272" s="94"/>
      <c r="BL272" s="120"/>
      <c r="BM272" s="121"/>
      <c r="BN272" s="122">
        <f>BN250+BN251</f>
        <v>0</v>
      </c>
      <c r="BO272" s="144"/>
      <c r="BP272" s="144"/>
      <c r="BQ272" s="144"/>
      <c r="BR272" s="144"/>
      <c r="BS272" s="144"/>
      <c r="BT272" s="144"/>
      <c r="BU272" s="121"/>
      <c r="BV272" s="122">
        <f>BV250+BV251</f>
        <v>0</v>
      </c>
      <c r="BX272" s="115"/>
      <c r="BY272" s="94"/>
      <c r="BZ272" s="94"/>
      <c r="CA272" s="94"/>
      <c r="CB272" s="94"/>
      <c r="CC272" s="120"/>
      <c r="CD272" s="121"/>
      <c r="CE272" s="122">
        <f>CE250+CE251</f>
        <v>0</v>
      </c>
      <c r="CF272" s="144"/>
      <c r="CG272" s="144"/>
      <c r="CH272" s="144"/>
      <c r="CI272" s="144"/>
      <c r="CJ272" s="144"/>
      <c r="CK272" s="144"/>
      <c r="CL272" s="121"/>
      <c r="CM272" s="122">
        <f>CM250+CM251</f>
        <v>0</v>
      </c>
      <c r="CN272" s="64"/>
      <c r="CO272" s="63"/>
      <c r="CP272" s="132">
        <f t="shared" si="410"/>
        <v>148.76730243522911</v>
      </c>
      <c r="CQ272" s="3"/>
      <c r="CR272" s="269">
        <f>W272+AN272+BE272+BV272+CM272</f>
        <v>191.37003995812145</v>
      </c>
      <c r="CT272" s="269"/>
    </row>
    <row r="273" spans="1:98" ht="15" customHeight="1" x14ac:dyDescent="0.2">
      <c r="A273" s="386"/>
      <c r="B273" s="418"/>
      <c r="C273" s="103"/>
      <c r="D273" s="104" t="s">
        <v>324</v>
      </c>
      <c r="E273" s="97" t="s">
        <v>10</v>
      </c>
      <c r="F273" s="310"/>
      <c r="H273" s="115"/>
      <c r="I273" s="94"/>
      <c r="J273" s="94"/>
      <c r="K273" s="94"/>
      <c r="L273" s="94"/>
      <c r="M273" s="123"/>
      <c r="N273" s="124"/>
      <c r="O273" s="125">
        <f>SUM(O243:O249)</f>
        <v>0</v>
      </c>
      <c r="P273" s="145"/>
      <c r="Q273" s="145"/>
      <c r="R273" s="145"/>
      <c r="S273" s="145"/>
      <c r="T273" s="145"/>
      <c r="U273" s="145"/>
      <c r="V273" s="124"/>
      <c r="W273" s="125">
        <f>SUM(W243:W249)</f>
        <v>0</v>
      </c>
      <c r="Y273" s="115"/>
      <c r="Z273" s="94"/>
      <c r="AA273" s="94"/>
      <c r="AB273" s="94"/>
      <c r="AC273" s="94"/>
      <c r="AD273" s="123"/>
      <c r="AE273" s="124"/>
      <c r="AF273" s="125">
        <f>SUM(AF243:AF249)</f>
        <v>0</v>
      </c>
      <c r="AG273" s="145"/>
      <c r="AH273" s="145"/>
      <c r="AI273" s="145"/>
      <c r="AJ273" s="145"/>
      <c r="AK273" s="145"/>
      <c r="AL273" s="145"/>
      <c r="AM273" s="124"/>
      <c r="AN273" s="125">
        <f>SUM(AN243:AN249)</f>
        <v>0</v>
      </c>
      <c r="AP273" s="115"/>
      <c r="AQ273" s="94"/>
      <c r="AR273" s="94"/>
      <c r="AS273" s="94"/>
      <c r="AT273" s="94"/>
      <c r="AU273" s="123"/>
      <c r="AV273" s="124"/>
      <c r="AW273" s="125">
        <f>SUM(AW243:AW249)</f>
        <v>0</v>
      </c>
      <c r="AX273" s="145"/>
      <c r="AY273" s="145"/>
      <c r="AZ273" s="145"/>
      <c r="BA273" s="145"/>
      <c r="BB273" s="145"/>
      <c r="BC273" s="145"/>
      <c r="BD273" s="124"/>
      <c r="BE273" s="125">
        <f>SUM(BE243:BE249)</f>
        <v>0</v>
      </c>
      <c r="BG273" s="115"/>
      <c r="BH273" s="94"/>
      <c r="BI273" s="94"/>
      <c r="BJ273" s="94"/>
      <c r="BK273" s="94"/>
      <c r="BL273" s="123"/>
      <c r="BM273" s="124"/>
      <c r="BN273" s="125">
        <f>SUM(BN243:BN249)</f>
        <v>0</v>
      </c>
      <c r="BO273" s="145"/>
      <c r="BP273" s="145"/>
      <c r="BQ273" s="145"/>
      <c r="BR273" s="145"/>
      <c r="BS273" s="145"/>
      <c r="BT273" s="145"/>
      <c r="BU273" s="124"/>
      <c r="BV273" s="125">
        <f>SUM(BV243:BV249)</f>
        <v>0</v>
      </c>
      <c r="BX273" s="115"/>
      <c r="BY273" s="94"/>
      <c r="BZ273" s="94"/>
      <c r="CA273" s="94"/>
      <c r="CB273" s="94"/>
      <c r="CC273" s="123"/>
      <c r="CD273" s="124"/>
      <c r="CE273" s="125">
        <f>SUM(CE243:CE249)</f>
        <v>0</v>
      </c>
      <c r="CF273" s="145"/>
      <c r="CG273" s="145"/>
      <c r="CH273" s="145"/>
      <c r="CI273" s="145"/>
      <c r="CJ273" s="145"/>
      <c r="CK273" s="145"/>
      <c r="CL273" s="124"/>
      <c r="CM273" s="125">
        <f>SUM(CM243:CM249)</f>
        <v>0</v>
      </c>
      <c r="CN273" s="64"/>
      <c r="CO273" s="63"/>
      <c r="CP273" s="133">
        <f t="shared" si="410"/>
        <v>0</v>
      </c>
      <c r="CQ273" s="3"/>
      <c r="CR273" s="269">
        <f>W273+AN273+BE273+BV273+CM273</f>
        <v>0</v>
      </c>
      <c r="CT273" s="269"/>
    </row>
    <row r="274" spans="1:98" ht="15" customHeight="1" x14ac:dyDescent="0.2">
      <c r="A274" s="386"/>
      <c r="B274" s="418"/>
      <c r="C274" s="103"/>
      <c r="D274" s="104" t="s">
        <v>38</v>
      </c>
      <c r="E274" s="97" t="s">
        <v>10</v>
      </c>
      <c r="F274" s="310"/>
      <c r="H274" s="115"/>
      <c r="I274" s="94"/>
      <c r="J274" s="94"/>
      <c r="K274" s="94"/>
      <c r="L274" s="94"/>
      <c r="M274" s="123"/>
      <c r="N274" s="124"/>
      <c r="O274" s="125">
        <f>O252+O254+O255</f>
        <v>0.15865275024259071</v>
      </c>
      <c r="P274" s="145"/>
      <c r="Q274" s="145"/>
      <c r="R274" s="145"/>
      <c r="S274" s="145"/>
      <c r="T274" s="145"/>
      <c r="U274" s="145"/>
      <c r="V274" s="124"/>
      <c r="W274" s="125">
        <f>W252+W254+W255</f>
        <v>0.21478903512120606</v>
      </c>
      <c r="Y274" s="115"/>
      <c r="Z274" s="94"/>
      <c r="AA274" s="94"/>
      <c r="AB274" s="94"/>
      <c r="AC274" s="94"/>
      <c r="AD274" s="123"/>
      <c r="AE274" s="124"/>
      <c r="AF274" s="125">
        <f>AF252+AF254+AF255</f>
        <v>15.482163901627096</v>
      </c>
      <c r="AG274" s="145"/>
      <c r="AH274" s="145"/>
      <c r="AI274" s="145"/>
      <c r="AJ274" s="145"/>
      <c r="AK274" s="145"/>
      <c r="AL274" s="145"/>
      <c r="AM274" s="124"/>
      <c r="AN274" s="125">
        <f>AN252+AN254+AN255</f>
        <v>19.903839109097937</v>
      </c>
      <c r="AP274" s="115"/>
      <c r="AQ274" s="94"/>
      <c r="AR274" s="94"/>
      <c r="AS274" s="94"/>
      <c r="AT274" s="94"/>
      <c r="AU274" s="123"/>
      <c r="AV274" s="124"/>
      <c r="AW274" s="125">
        <f>AW252+AW254+AW255</f>
        <v>1.8899393943901662E-2</v>
      </c>
      <c r="AX274" s="145"/>
      <c r="AY274" s="145"/>
      <c r="AZ274" s="145"/>
      <c r="BA274" s="145"/>
      <c r="BB274" s="145"/>
      <c r="BC274" s="145"/>
      <c r="BD274" s="124"/>
      <c r="BE274" s="125">
        <f>BE252+BE254+BE255</f>
        <v>2.558658821469615E-2</v>
      </c>
      <c r="BG274" s="115"/>
      <c r="BH274" s="94"/>
      <c r="BI274" s="94"/>
      <c r="BJ274" s="94"/>
      <c r="BK274" s="94"/>
      <c r="BL274" s="123"/>
      <c r="BM274" s="124"/>
      <c r="BN274" s="125">
        <f>BN252+BN254+BN255</f>
        <v>0</v>
      </c>
      <c r="BO274" s="145"/>
      <c r="BP274" s="145"/>
      <c r="BQ274" s="145"/>
      <c r="BR274" s="145"/>
      <c r="BS274" s="145"/>
      <c r="BT274" s="145"/>
      <c r="BU274" s="124"/>
      <c r="BV274" s="125">
        <f>BV252+BV254+BV255</f>
        <v>0</v>
      </c>
      <c r="BX274" s="115"/>
      <c r="BY274" s="94"/>
      <c r="BZ274" s="94"/>
      <c r="CA274" s="94"/>
      <c r="CB274" s="94"/>
      <c r="CC274" s="123"/>
      <c r="CD274" s="124"/>
      <c r="CE274" s="125">
        <f>CE252+CE254+CE255</f>
        <v>0</v>
      </c>
      <c r="CF274" s="145"/>
      <c r="CG274" s="145"/>
      <c r="CH274" s="145"/>
      <c r="CI274" s="145"/>
      <c r="CJ274" s="145"/>
      <c r="CK274" s="145"/>
      <c r="CL274" s="124"/>
      <c r="CM274" s="125">
        <f>CM252+CM254+CM255</f>
        <v>0</v>
      </c>
      <c r="CN274" s="64"/>
      <c r="CO274" s="63"/>
      <c r="CP274" s="133">
        <f t="shared" si="410"/>
        <v>15.659716045813587</v>
      </c>
      <c r="CQ274" s="3"/>
      <c r="CR274" s="269">
        <f>W274+AN274+BE274+BV274+CM274</f>
        <v>20.144214732433841</v>
      </c>
      <c r="CT274" s="269"/>
    </row>
    <row r="275" spans="1:98" ht="15" customHeight="1" thickBot="1" x14ac:dyDescent="0.25">
      <c r="A275" s="386"/>
      <c r="B275" s="418"/>
      <c r="C275" s="105"/>
      <c r="D275" s="106" t="s">
        <v>39</v>
      </c>
      <c r="E275" s="107" t="s">
        <v>10</v>
      </c>
      <c r="F275" s="310"/>
      <c r="H275" s="115"/>
      <c r="I275" s="94"/>
      <c r="J275" s="94"/>
      <c r="K275" s="94"/>
      <c r="L275" s="94"/>
      <c r="M275" s="128"/>
      <c r="N275" s="129"/>
      <c r="O275" s="130">
        <f>O253</f>
        <v>0.71393737609165808</v>
      </c>
      <c r="P275" s="148"/>
      <c r="Q275" s="148"/>
      <c r="R275" s="148"/>
      <c r="S275" s="148"/>
      <c r="T275" s="148"/>
      <c r="U275" s="148"/>
      <c r="V275" s="129"/>
      <c r="W275" s="130">
        <f>W253</f>
        <v>0.96655065804542728</v>
      </c>
      <c r="Y275" s="115"/>
      <c r="Z275" s="94"/>
      <c r="AA275" s="94"/>
      <c r="AB275" s="94"/>
      <c r="AC275" s="94"/>
      <c r="AD275" s="128"/>
      <c r="AE275" s="129"/>
      <c r="AF275" s="130">
        <f>AF253</f>
        <v>69.669737557321923</v>
      </c>
      <c r="AG275" s="148"/>
      <c r="AH275" s="148"/>
      <c r="AI275" s="148"/>
      <c r="AJ275" s="148"/>
      <c r="AK275" s="148"/>
      <c r="AL275" s="148"/>
      <c r="AM275" s="129"/>
      <c r="AN275" s="130">
        <f>AN253</f>
        <v>89.567275990940715</v>
      </c>
      <c r="AP275" s="115"/>
      <c r="AQ275" s="94"/>
      <c r="AR275" s="94"/>
      <c r="AS275" s="94"/>
      <c r="AT275" s="94"/>
      <c r="AU275" s="128"/>
      <c r="AV275" s="129"/>
      <c r="AW275" s="130">
        <f>AW253</f>
        <v>8.5047272747557467E-2</v>
      </c>
      <c r="AX275" s="148"/>
      <c r="AY275" s="148"/>
      <c r="AZ275" s="148"/>
      <c r="BA275" s="148"/>
      <c r="BB275" s="148"/>
      <c r="BC275" s="148"/>
      <c r="BD275" s="129"/>
      <c r="BE275" s="130">
        <f>BE253</f>
        <v>0.11513964696613266</v>
      </c>
      <c r="BG275" s="115"/>
      <c r="BH275" s="94"/>
      <c r="BI275" s="94"/>
      <c r="BJ275" s="94"/>
      <c r="BK275" s="94"/>
      <c r="BL275" s="128"/>
      <c r="BM275" s="129"/>
      <c r="BN275" s="130">
        <f>BN253</f>
        <v>0</v>
      </c>
      <c r="BO275" s="148"/>
      <c r="BP275" s="148"/>
      <c r="BQ275" s="148"/>
      <c r="BR275" s="148"/>
      <c r="BS275" s="148"/>
      <c r="BT275" s="148"/>
      <c r="BU275" s="129"/>
      <c r="BV275" s="130">
        <f>BV253</f>
        <v>0</v>
      </c>
      <c r="BX275" s="115"/>
      <c r="BY275" s="94"/>
      <c r="BZ275" s="94"/>
      <c r="CA275" s="94"/>
      <c r="CB275" s="94"/>
      <c r="CC275" s="128"/>
      <c r="CD275" s="129"/>
      <c r="CE275" s="130">
        <f>CE253</f>
        <v>0</v>
      </c>
      <c r="CF275" s="148"/>
      <c r="CG275" s="148"/>
      <c r="CH275" s="148"/>
      <c r="CI275" s="148"/>
      <c r="CJ275" s="148"/>
      <c r="CK275" s="148"/>
      <c r="CL275" s="129"/>
      <c r="CM275" s="130">
        <f>CM253</f>
        <v>0</v>
      </c>
      <c r="CN275" s="64"/>
      <c r="CO275" s="63"/>
      <c r="CP275" s="134">
        <f t="shared" si="410"/>
        <v>70.468722206161146</v>
      </c>
      <c r="CQ275" s="3"/>
      <c r="CR275" s="269">
        <f>W275+AN275+BE275+BV275+CM275</f>
        <v>90.648966295952263</v>
      </c>
      <c r="CT275" s="269"/>
    </row>
    <row r="276" spans="1:98" ht="15" customHeight="1" thickBot="1" x14ac:dyDescent="0.25">
      <c r="A276" s="386"/>
      <c r="B276" s="418"/>
      <c r="C276" s="293" t="s">
        <v>551</v>
      </c>
      <c r="D276" s="292" t="s">
        <v>389</v>
      </c>
      <c r="E276" s="107" t="s">
        <v>51</v>
      </c>
      <c r="F276" s="311"/>
      <c r="H276" s="115"/>
      <c r="I276" s="94"/>
      <c r="J276" s="94"/>
      <c r="K276" s="94"/>
      <c r="L276" s="94"/>
      <c r="M276" s="115"/>
      <c r="N276" s="273"/>
      <c r="O276" s="125">
        <f>O256</f>
        <v>1.5865275024259071</v>
      </c>
      <c r="P276" s="274"/>
      <c r="Q276" s="274"/>
      <c r="R276" s="274"/>
      <c r="S276" s="274"/>
      <c r="T276" s="274"/>
      <c r="U276" s="274"/>
      <c r="V276" s="275"/>
      <c r="W276" s="125">
        <f>W256</f>
        <v>2.1478903512120606</v>
      </c>
      <c r="Y276" s="115"/>
      <c r="Z276" s="94"/>
      <c r="AA276" s="94"/>
      <c r="AB276" s="94"/>
      <c r="AC276" s="94"/>
      <c r="AD276" s="115"/>
      <c r="AE276" s="273"/>
      <c r="AF276" s="125">
        <f>AF256</f>
        <v>154.82163901627098</v>
      </c>
      <c r="AG276" s="274"/>
      <c r="AH276" s="274"/>
      <c r="AI276" s="274"/>
      <c r="AJ276" s="274"/>
      <c r="AK276" s="274"/>
      <c r="AL276" s="274"/>
      <c r="AM276" s="275"/>
      <c r="AN276" s="125">
        <f>AN256</f>
        <v>199.03839109097939</v>
      </c>
      <c r="AP276" s="115"/>
      <c r="AQ276" s="94"/>
      <c r="AR276" s="94"/>
      <c r="AS276" s="94"/>
      <c r="AT276" s="94"/>
      <c r="AU276" s="115"/>
      <c r="AV276" s="273"/>
      <c r="AW276" s="125">
        <f>AW256</f>
        <v>0.18899393943901663</v>
      </c>
      <c r="AX276" s="274"/>
      <c r="AY276" s="274"/>
      <c r="AZ276" s="274"/>
      <c r="BA276" s="274"/>
      <c r="BB276" s="274"/>
      <c r="BC276" s="274"/>
      <c r="BD276" s="275"/>
      <c r="BE276" s="125">
        <f>BE256</f>
        <v>0.25586588214696149</v>
      </c>
      <c r="BG276" s="115"/>
      <c r="BH276" s="94"/>
      <c r="BI276" s="94"/>
      <c r="BJ276" s="94"/>
      <c r="BK276" s="94"/>
      <c r="BL276" s="115"/>
      <c r="BM276" s="273"/>
      <c r="BN276" s="125">
        <f>BN256</f>
        <v>0</v>
      </c>
      <c r="BO276" s="274"/>
      <c r="BP276" s="274"/>
      <c r="BQ276" s="274"/>
      <c r="BR276" s="274"/>
      <c r="BS276" s="274"/>
      <c r="BT276" s="274"/>
      <c r="BU276" s="275"/>
      <c r="BV276" s="125">
        <f>BV256</f>
        <v>0</v>
      </c>
      <c r="BX276" s="115"/>
      <c r="BY276" s="94"/>
      <c r="BZ276" s="94"/>
      <c r="CA276" s="94"/>
      <c r="CB276" s="94"/>
      <c r="CC276" s="115"/>
      <c r="CD276" s="273"/>
      <c r="CE276" s="125">
        <f>CE256</f>
        <v>0</v>
      </c>
      <c r="CF276" s="274"/>
      <c r="CG276" s="274"/>
      <c r="CH276" s="274"/>
      <c r="CI276" s="274"/>
      <c r="CJ276" s="274"/>
      <c r="CK276" s="274"/>
      <c r="CL276" s="275"/>
      <c r="CM276" s="125">
        <f>CM256</f>
        <v>0</v>
      </c>
      <c r="CN276" s="64"/>
      <c r="CO276" s="63"/>
      <c r="CP276" s="269">
        <f t="shared" si="410"/>
        <v>156.5971604581359</v>
      </c>
      <c r="CQ276" s="3"/>
      <c r="CR276" s="269">
        <f t="shared" ref="CR276" si="412">W276+AN276+BE276+BV276+CM276</f>
        <v>201.44214732433841</v>
      </c>
      <c r="CT276" s="269"/>
    </row>
    <row r="277" spans="1:98" ht="21.75" customHeight="1" thickBot="1" x14ac:dyDescent="0.25">
      <c r="A277" s="387"/>
      <c r="B277" s="419"/>
      <c r="C277" s="108"/>
      <c r="D277" s="278" t="s">
        <v>328</v>
      </c>
      <c r="E277" s="279" t="s">
        <v>10</v>
      </c>
      <c r="F277" s="312"/>
      <c r="H277" s="115"/>
      <c r="I277" s="94"/>
      <c r="J277" s="94"/>
      <c r="K277" s="94"/>
      <c r="L277" s="94"/>
      <c r="M277" s="118"/>
      <c r="N277" s="119"/>
      <c r="O277" s="280">
        <f>SUM(O271:O276)</f>
        <v>19.831593780323836</v>
      </c>
      <c r="P277" s="147"/>
      <c r="Q277" s="147"/>
      <c r="R277" s="147"/>
      <c r="S277" s="147"/>
      <c r="T277" s="147"/>
      <c r="U277" s="147"/>
      <c r="V277" s="119"/>
      <c r="W277" s="280">
        <f>SUM(W271:W276)</f>
        <v>26.848629390150762</v>
      </c>
      <c r="Y277" s="115"/>
      <c r="Z277" s="291"/>
      <c r="AA277" s="94"/>
      <c r="AB277" s="94"/>
      <c r="AC277" s="94"/>
      <c r="AD277" s="118"/>
      <c r="AE277" s="119"/>
      <c r="AF277" s="280">
        <f>SUM(AF271:AF276)</f>
        <v>1935.2704877033871</v>
      </c>
      <c r="AG277" s="147"/>
      <c r="AH277" s="147"/>
      <c r="AI277" s="147"/>
      <c r="AJ277" s="147"/>
      <c r="AK277" s="147"/>
      <c r="AL277" s="147"/>
      <c r="AM277" s="119"/>
      <c r="AN277" s="280">
        <f>SUM(AN271:AN276)</f>
        <v>2487.9798886372423</v>
      </c>
      <c r="AP277" s="115"/>
      <c r="AQ277" s="94"/>
      <c r="AR277" s="94"/>
      <c r="AS277" s="94"/>
      <c r="AT277" s="94"/>
      <c r="AU277" s="118"/>
      <c r="AV277" s="119"/>
      <c r="AW277" s="280">
        <f>SUM(AW271:AW276)</f>
        <v>2.3624242429877076</v>
      </c>
      <c r="AX277" s="147"/>
      <c r="AY277" s="147"/>
      <c r="AZ277" s="147"/>
      <c r="BA277" s="147"/>
      <c r="BB277" s="147"/>
      <c r="BC277" s="147"/>
      <c r="BD277" s="119"/>
      <c r="BE277" s="280">
        <f>SUM(BE271:BE276)</f>
        <v>3.1983235268370187</v>
      </c>
      <c r="BG277" s="115"/>
      <c r="BH277" s="94"/>
      <c r="BI277" s="94"/>
      <c r="BJ277" s="94"/>
      <c r="BK277" s="94"/>
      <c r="BL277" s="118"/>
      <c r="BM277" s="119"/>
      <c r="BN277" s="280">
        <f>SUM(BN271:BN276)</f>
        <v>0</v>
      </c>
      <c r="BO277" s="147"/>
      <c r="BP277" s="147"/>
      <c r="BQ277" s="147"/>
      <c r="BR277" s="147"/>
      <c r="BS277" s="147"/>
      <c r="BT277" s="147"/>
      <c r="BU277" s="119"/>
      <c r="BV277" s="280">
        <f>SUM(BV271:BV276)</f>
        <v>0</v>
      </c>
      <c r="BX277" s="115"/>
      <c r="BY277" s="94"/>
      <c r="BZ277" s="94"/>
      <c r="CA277" s="94"/>
      <c r="CB277" s="94"/>
      <c r="CC277" s="118"/>
      <c r="CD277" s="119"/>
      <c r="CE277" s="280">
        <f>SUM(CE271:CE276)</f>
        <v>0</v>
      </c>
      <c r="CF277" s="147"/>
      <c r="CG277" s="147"/>
      <c r="CH277" s="147"/>
      <c r="CI277" s="147"/>
      <c r="CJ277" s="147"/>
      <c r="CK277" s="147"/>
      <c r="CL277" s="119"/>
      <c r="CM277" s="280">
        <f>SUM(CM271:CM276)</f>
        <v>0</v>
      </c>
      <c r="CN277" s="64"/>
      <c r="CO277" s="63"/>
      <c r="CP277" s="281">
        <f t="shared" si="410"/>
        <v>1957.4645057266987</v>
      </c>
      <c r="CQ277" s="3"/>
      <c r="CR277" s="281">
        <f>W277+AN277+BE277+BV277+CM277</f>
        <v>2518.02684155423</v>
      </c>
      <c r="CT277" s="281"/>
    </row>
    <row r="278" spans="1:98" ht="6.75" customHeight="1" thickBot="1" x14ac:dyDescent="0.25">
      <c r="A278" s="84"/>
      <c r="B278" s="85"/>
      <c r="C278" s="86"/>
      <c r="D278" s="276"/>
      <c r="E278" s="86"/>
      <c r="F278" s="277"/>
      <c r="H278" s="259"/>
      <c r="I278" s="87"/>
      <c r="J278" s="87"/>
      <c r="K278" s="87"/>
      <c r="L278" s="87"/>
      <c r="M278" s="88"/>
      <c r="N278" s="88"/>
      <c r="O278" s="89"/>
      <c r="P278" s="88"/>
      <c r="Q278" s="88"/>
      <c r="R278" s="88"/>
      <c r="S278" s="88"/>
      <c r="T278" s="88"/>
      <c r="U278" s="88"/>
      <c r="V278" s="88"/>
      <c r="W278" s="288"/>
      <c r="Y278" s="259"/>
      <c r="Z278" s="87"/>
      <c r="AA278" s="87"/>
      <c r="AB278" s="87"/>
      <c r="AC278" s="87"/>
      <c r="AD278" s="88"/>
      <c r="AE278" s="88"/>
      <c r="AF278" s="89"/>
      <c r="AG278" s="88"/>
      <c r="AH278" s="88"/>
      <c r="AI278" s="88"/>
      <c r="AJ278" s="88"/>
      <c r="AK278" s="88"/>
      <c r="AL278" s="88"/>
      <c r="AM278" s="88"/>
      <c r="AN278" s="288"/>
      <c r="AP278" s="259"/>
      <c r="AQ278" s="87"/>
      <c r="AR278" s="87"/>
      <c r="AS278" s="87"/>
      <c r="AT278" s="87"/>
      <c r="AU278" s="88"/>
      <c r="AV278" s="88"/>
      <c r="AW278" s="89"/>
      <c r="AX278" s="88"/>
      <c r="AY278" s="88"/>
      <c r="AZ278" s="88"/>
      <c r="BA278" s="88"/>
      <c r="BB278" s="88"/>
      <c r="BC278" s="88"/>
      <c r="BD278" s="88"/>
      <c r="BE278" s="288"/>
      <c r="BG278" s="259"/>
      <c r="BH278" s="87"/>
      <c r="BI278" s="87"/>
      <c r="BJ278" s="87"/>
      <c r="BK278" s="87"/>
      <c r="BL278" s="88"/>
      <c r="BM278" s="88"/>
      <c r="BN278" s="89"/>
      <c r="BO278" s="88"/>
      <c r="BP278" s="88"/>
      <c r="BQ278" s="88"/>
      <c r="BR278" s="88"/>
      <c r="BS278" s="88"/>
      <c r="BT278" s="88"/>
      <c r="BU278" s="88"/>
      <c r="BV278" s="288"/>
      <c r="BX278" s="259"/>
      <c r="BY278" s="87"/>
      <c r="BZ278" s="87"/>
      <c r="CA278" s="87"/>
      <c r="CB278" s="87"/>
      <c r="CC278" s="88"/>
      <c r="CD278" s="88"/>
      <c r="CE278" s="89"/>
      <c r="CF278" s="88"/>
      <c r="CG278" s="88"/>
      <c r="CH278" s="88"/>
      <c r="CI278" s="88"/>
      <c r="CJ278" s="88"/>
      <c r="CK278" s="88"/>
      <c r="CL278" s="88"/>
      <c r="CM278" s="288"/>
      <c r="CN278" s="64"/>
      <c r="CO278" s="63"/>
      <c r="CP278" s="135"/>
      <c r="CQ278" s="3"/>
      <c r="CR278" s="135"/>
      <c r="CT278" s="135"/>
    </row>
    <row r="279" spans="1:98" x14ac:dyDescent="0.2">
      <c r="A279" s="410" t="s">
        <v>446</v>
      </c>
      <c r="B279" s="412" t="s">
        <v>401</v>
      </c>
      <c r="C279" s="231" t="s">
        <v>394</v>
      </c>
      <c r="D279" s="313" t="s">
        <v>403</v>
      </c>
      <c r="E279" s="314" t="s">
        <v>10</v>
      </c>
      <c r="F279" s="315"/>
      <c r="H279" s="290"/>
      <c r="I279" s="66"/>
      <c r="J279" s="66"/>
      <c r="K279" s="66"/>
      <c r="L279" s="66"/>
      <c r="M279" s="120"/>
      <c r="N279" s="121"/>
      <c r="O279" s="122">
        <f>SUM(O7:O23)</f>
        <v>4.9138424254144324</v>
      </c>
      <c r="P279" s="144"/>
      <c r="Q279" s="144"/>
      <c r="R279" s="144"/>
      <c r="S279" s="144"/>
      <c r="T279" s="144"/>
      <c r="U279" s="144"/>
      <c r="V279" s="121"/>
      <c r="W279" s="122">
        <f>SUM(W7:W23)</f>
        <v>6.652512935821</v>
      </c>
      <c r="Y279" s="290"/>
      <c r="Z279" s="66"/>
      <c r="AA279" s="66"/>
      <c r="AB279" s="66"/>
      <c r="AC279" s="66"/>
      <c r="AD279" s="120"/>
      <c r="AE279" s="121"/>
      <c r="AF279" s="122">
        <f>SUM(AF7:AF23)</f>
        <v>273.37717942638295</v>
      </c>
      <c r="AG279" s="144"/>
      <c r="AH279" s="144"/>
      <c r="AI279" s="144"/>
      <c r="AJ279" s="144"/>
      <c r="AK279" s="144"/>
      <c r="AL279" s="144"/>
      <c r="AM279" s="121"/>
      <c r="AN279" s="122">
        <f>SUM(AN7:AN23)</f>
        <v>370.10654087852379</v>
      </c>
      <c r="AP279" s="290"/>
      <c r="AQ279" s="78"/>
      <c r="AR279" s="78"/>
      <c r="AS279" s="78"/>
      <c r="AT279" s="78"/>
      <c r="AU279" s="120"/>
      <c r="AV279" s="121"/>
      <c r="AW279" s="122">
        <f>SUM(AW7:AW23)</f>
        <v>1.8899393943901661</v>
      </c>
      <c r="AX279" s="144"/>
      <c r="AY279" s="144"/>
      <c r="AZ279" s="144"/>
      <c r="BA279" s="144"/>
      <c r="BB279" s="144"/>
      <c r="BC279" s="144"/>
      <c r="BD279" s="121"/>
      <c r="BE279" s="122">
        <f>SUM(BE7:BE23)</f>
        <v>2.5586588214696149</v>
      </c>
      <c r="BG279" s="290"/>
      <c r="BH279" s="78"/>
      <c r="BI279" s="78"/>
      <c r="BJ279" s="78"/>
      <c r="BK279" s="78"/>
      <c r="BL279" s="120"/>
      <c r="BM279" s="121"/>
      <c r="BN279" s="122">
        <f>SUM(BN7:BN23)</f>
        <v>0</v>
      </c>
      <c r="BO279" s="144"/>
      <c r="BP279" s="144"/>
      <c r="BQ279" s="144"/>
      <c r="BR279" s="144"/>
      <c r="BS279" s="144"/>
      <c r="BT279" s="144"/>
      <c r="BU279" s="121"/>
      <c r="BV279" s="122">
        <f>SUM(BV7:BV23)</f>
        <v>0</v>
      </c>
      <c r="BX279" s="290"/>
      <c r="BY279" s="78"/>
      <c r="BZ279" s="78"/>
      <c r="CA279" s="78"/>
      <c r="CB279" s="78"/>
      <c r="CC279" s="120"/>
      <c r="CD279" s="121"/>
      <c r="CE279" s="122">
        <f>SUM(CE7:CE23)</f>
        <v>0</v>
      </c>
      <c r="CF279" s="144"/>
      <c r="CG279" s="144"/>
      <c r="CH279" s="144"/>
      <c r="CI279" s="144"/>
      <c r="CJ279" s="144"/>
      <c r="CK279" s="144"/>
      <c r="CL279" s="121"/>
      <c r="CM279" s="122">
        <f>SUM(CM7:CM23)</f>
        <v>0</v>
      </c>
      <c r="CN279" s="55"/>
      <c r="CO279" s="3"/>
      <c r="CP279" s="132">
        <f t="shared" ref="CP279:CP287" si="413">O279+AF279+AW279+BN279+CE279</f>
        <v>280.18096124618756</v>
      </c>
      <c r="CQ279" s="3"/>
      <c r="CR279" s="265">
        <f t="shared" ref="CR279:CR285" si="414">W279+AN279+BE279+BV279+CM279</f>
        <v>379.31771263581442</v>
      </c>
      <c r="CT279" s="265"/>
    </row>
    <row r="280" spans="1:98" x14ac:dyDescent="0.2">
      <c r="A280" s="411"/>
      <c r="B280" s="413"/>
      <c r="C280" s="196" t="s">
        <v>395</v>
      </c>
      <c r="D280" s="96" t="s">
        <v>404</v>
      </c>
      <c r="E280" s="95" t="s">
        <v>10</v>
      </c>
      <c r="F280" s="316"/>
      <c r="H280" s="290"/>
      <c r="I280" s="66"/>
      <c r="J280" s="66"/>
      <c r="K280" s="66"/>
      <c r="L280" s="66"/>
      <c r="M280" s="123"/>
      <c r="N280" s="124"/>
      <c r="O280" s="125">
        <f>SUM(O25:O40)</f>
        <v>10.951432598844637</v>
      </c>
      <c r="P280" s="145"/>
      <c r="Q280" s="145"/>
      <c r="R280" s="145"/>
      <c r="S280" s="145"/>
      <c r="T280" s="145"/>
      <c r="U280" s="145"/>
      <c r="V280" s="124"/>
      <c r="W280" s="125">
        <f>SUM(W25:W40)</f>
        <v>14.826390576299605</v>
      </c>
      <c r="Y280" s="290"/>
      <c r="Z280" s="66"/>
      <c r="AA280" s="66"/>
      <c r="AB280" s="66"/>
      <c r="AC280" s="66"/>
      <c r="AD280" s="123"/>
      <c r="AE280" s="124"/>
      <c r="AF280" s="125">
        <f>SUM(AF25:AF40)</f>
        <v>82.31035873376203</v>
      </c>
      <c r="AG280" s="145"/>
      <c r="AH280" s="145"/>
      <c r="AI280" s="145"/>
      <c r="AJ280" s="145"/>
      <c r="AK280" s="145"/>
      <c r="AL280" s="145"/>
      <c r="AM280" s="124"/>
      <c r="AN280" s="125">
        <f>SUM(AN25:AN40)</f>
        <v>111.43432752266915</v>
      </c>
      <c r="AP280" s="290"/>
      <c r="AQ280" s="78"/>
      <c r="AR280" s="78"/>
      <c r="AS280" s="78"/>
      <c r="AT280" s="78"/>
      <c r="AU280" s="123"/>
      <c r="AV280" s="124"/>
      <c r="AW280" s="125">
        <f>SUM(AW25:AW40)</f>
        <v>0</v>
      </c>
      <c r="AX280" s="145"/>
      <c r="AY280" s="145"/>
      <c r="AZ280" s="145"/>
      <c r="BA280" s="145"/>
      <c r="BB280" s="145"/>
      <c r="BC280" s="145"/>
      <c r="BD280" s="124"/>
      <c r="BE280" s="125">
        <f>SUM(BE25:BE40)</f>
        <v>0</v>
      </c>
      <c r="BG280" s="290"/>
      <c r="BH280" s="78"/>
      <c r="BI280" s="78"/>
      <c r="BJ280" s="78"/>
      <c r="BK280" s="78"/>
      <c r="BL280" s="123"/>
      <c r="BM280" s="124"/>
      <c r="BN280" s="125">
        <f>SUM(BN25:BN40)</f>
        <v>0</v>
      </c>
      <c r="BO280" s="145"/>
      <c r="BP280" s="145"/>
      <c r="BQ280" s="145"/>
      <c r="BR280" s="145"/>
      <c r="BS280" s="145"/>
      <c r="BT280" s="145"/>
      <c r="BU280" s="124"/>
      <c r="BV280" s="125">
        <f>SUM(BV25:BV40)</f>
        <v>0</v>
      </c>
      <c r="BX280" s="290"/>
      <c r="BY280" s="78"/>
      <c r="BZ280" s="78"/>
      <c r="CA280" s="78"/>
      <c r="CB280" s="78"/>
      <c r="CC280" s="123"/>
      <c r="CD280" s="124"/>
      <c r="CE280" s="125">
        <f>SUM(CE25:CE40)</f>
        <v>0</v>
      </c>
      <c r="CF280" s="145"/>
      <c r="CG280" s="145"/>
      <c r="CH280" s="145"/>
      <c r="CI280" s="145"/>
      <c r="CJ280" s="145"/>
      <c r="CK280" s="145"/>
      <c r="CL280" s="124"/>
      <c r="CM280" s="125">
        <f>SUM(CM25:CM40)</f>
        <v>0</v>
      </c>
      <c r="CN280" s="55"/>
      <c r="CO280" s="3"/>
      <c r="CP280" s="133">
        <f t="shared" si="413"/>
        <v>93.261791332606663</v>
      </c>
      <c r="CQ280" s="3"/>
      <c r="CR280" s="269">
        <f t="shared" si="414"/>
        <v>126.26071809896875</v>
      </c>
      <c r="CT280" s="269"/>
    </row>
    <row r="281" spans="1:98" x14ac:dyDescent="0.2">
      <c r="A281" s="411"/>
      <c r="B281" s="413"/>
      <c r="C281" s="196" t="s">
        <v>396</v>
      </c>
      <c r="D281" s="96" t="s">
        <v>405</v>
      </c>
      <c r="E281" s="95" t="s">
        <v>10</v>
      </c>
      <c r="F281" s="316"/>
      <c r="H281" s="290"/>
      <c r="I281" s="66"/>
      <c r="J281" s="66"/>
      <c r="K281" s="66"/>
      <c r="L281" s="66"/>
      <c r="M281" s="123"/>
      <c r="N281" s="124"/>
      <c r="O281" s="125">
        <f>SUM(O42:O56)</f>
        <v>0</v>
      </c>
      <c r="P281" s="145"/>
      <c r="Q281" s="145"/>
      <c r="R281" s="145"/>
      <c r="S281" s="145"/>
      <c r="T281" s="145"/>
      <c r="U281" s="145"/>
      <c r="V281" s="124"/>
      <c r="W281" s="125">
        <f>SUM(W42:W56)</f>
        <v>0</v>
      </c>
      <c r="Y281" s="290"/>
      <c r="Z281" s="66"/>
      <c r="AA281" s="66"/>
      <c r="AB281" s="66"/>
      <c r="AC281" s="66"/>
      <c r="AD281" s="123"/>
      <c r="AE281" s="124"/>
      <c r="AF281" s="125">
        <f>SUM(AF42:AF56)</f>
        <v>111.58114378494719</v>
      </c>
      <c r="AG281" s="145"/>
      <c r="AH281" s="145"/>
      <c r="AI281" s="145"/>
      <c r="AJ281" s="145"/>
      <c r="AK281" s="145"/>
      <c r="AL281" s="145"/>
      <c r="AM281" s="124"/>
      <c r="AN281" s="125">
        <f>SUM(AN42:AN56)</f>
        <v>147.12803971755045</v>
      </c>
      <c r="AP281" s="290"/>
      <c r="AQ281" s="78"/>
      <c r="AR281" s="78"/>
      <c r="AS281" s="78"/>
      <c r="AT281" s="78"/>
      <c r="AU281" s="123"/>
      <c r="AV281" s="124"/>
      <c r="AW281" s="125">
        <f>SUM(AW42:AW56)</f>
        <v>0</v>
      </c>
      <c r="AX281" s="145"/>
      <c r="AY281" s="145"/>
      <c r="AZ281" s="145"/>
      <c r="BA281" s="145"/>
      <c r="BB281" s="145"/>
      <c r="BC281" s="145"/>
      <c r="BD281" s="124"/>
      <c r="BE281" s="125">
        <f>SUM(BE42:BE56)</f>
        <v>0</v>
      </c>
      <c r="BG281" s="290"/>
      <c r="BH281" s="78"/>
      <c r="BI281" s="78"/>
      <c r="BJ281" s="78"/>
      <c r="BK281" s="78"/>
      <c r="BL281" s="123"/>
      <c r="BM281" s="124"/>
      <c r="BN281" s="125">
        <f>SUM(BN42:BN56)</f>
        <v>0</v>
      </c>
      <c r="BO281" s="145"/>
      <c r="BP281" s="145"/>
      <c r="BQ281" s="145"/>
      <c r="BR281" s="145"/>
      <c r="BS281" s="145"/>
      <c r="BT281" s="145"/>
      <c r="BU281" s="124"/>
      <c r="BV281" s="125">
        <f>SUM(BV42:BV56)</f>
        <v>0</v>
      </c>
      <c r="BX281" s="290"/>
      <c r="BY281" s="78"/>
      <c r="BZ281" s="78"/>
      <c r="CA281" s="78"/>
      <c r="CB281" s="78"/>
      <c r="CC281" s="123"/>
      <c r="CD281" s="124"/>
      <c r="CE281" s="125">
        <f>SUM(CE42:CE56)</f>
        <v>0</v>
      </c>
      <c r="CF281" s="145"/>
      <c r="CG281" s="145"/>
      <c r="CH281" s="145"/>
      <c r="CI281" s="145"/>
      <c r="CJ281" s="145"/>
      <c r="CK281" s="145"/>
      <c r="CL281" s="124"/>
      <c r="CM281" s="125">
        <f>SUM(CM42:CM56)</f>
        <v>0</v>
      </c>
      <c r="CN281" s="55"/>
      <c r="CO281" s="3"/>
      <c r="CP281" s="133">
        <f t="shared" si="413"/>
        <v>111.58114378494719</v>
      </c>
      <c r="CQ281" s="3"/>
      <c r="CR281" s="269">
        <f t="shared" si="414"/>
        <v>147.12803971755045</v>
      </c>
      <c r="CT281" s="269"/>
    </row>
    <row r="282" spans="1:98" x14ac:dyDescent="0.2">
      <c r="A282" s="411"/>
      <c r="B282" s="414"/>
      <c r="C282" s="196" t="s">
        <v>397</v>
      </c>
      <c r="D282" s="96" t="s">
        <v>406</v>
      </c>
      <c r="E282" s="95" t="s">
        <v>10</v>
      </c>
      <c r="F282" s="316"/>
      <c r="H282" s="290"/>
      <c r="I282" s="66"/>
      <c r="J282" s="66"/>
      <c r="K282" s="66"/>
      <c r="L282" s="66"/>
      <c r="M282" s="123"/>
      <c r="N282" s="124"/>
      <c r="O282" s="125">
        <f>SUM(O58:O64)</f>
        <v>0</v>
      </c>
      <c r="P282" s="145"/>
      <c r="Q282" s="145"/>
      <c r="R282" s="145"/>
      <c r="S282" s="145"/>
      <c r="T282" s="145"/>
      <c r="U282" s="145"/>
      <c r="V282" s="124"/>
      <c r="W282" s="125">
        <f>SUM(W58:W64)</f>
        <v>0</v>
      </c>
      <c r="Y282" s="290"/>
      <c r="Z282" s="66"/>
      <c r="AA282" s="66"/>
      <c r="AB282" s="66"/>
      <c r="AC282" s="66"/>
      <c r="AD282" s="123"/>
      <c r="AE282" s="124"/>
      <c r="AF282" s="125">
        <f>SUM(AF58:AF64)</f>
        <v>35.752117552644826</v>
      </c>
      <c r="AG282" s="145"/>
      <c r="AH282" s="145"/>
      <c r="AI282" s="145"/>
      <c r="AJ282" s="145"/>
      <c r="AK282" s="145"/>
      <c r="AL282" s="145"/>
      <c r="AM282" s="124"/>
      <c r="AN282" s="125">
        <f>SUM(AN58:AN64)</f>
        <v>46.284702824331603</v>
      </c>
      <c r="AP282" s="290"/>
      <c r="AQ282" s="78"/>
      <c r="AR282" s="78"/>
      <c r="AS282" s="78"/>
      <c r="AT282" s="78"/>
      <c r="AU282" s="123"/>
      <c r="AV282" s="124"/>
      <c r="AW282" s="125">
        <f>SUM(AW58:AW64)</f>
        <v>0</v>
      </c>
      <c r="AX282" s="145"/>
      <c r="AY282" s="145"/>
      <c r="AZ282" s="145"/>
      <c r="BA282" s="145"/>
      <c r="BB282" s="145"/>
      <c r="BC282" s="145"/>
      <c r="BD282" s="124"/>
      <c r="BE282" s="125">
        <f>SUM(BE58:BE64)</f>
        <v>0</v>
      </c>
      <c r="BG282" s="290"/>
      <c r="BH282" s="78"/>
      <c r="BI282" s="78"/>
      <c r="BJ282" s="78"/>
      <c r="BK282" s="78"/>
      <c r="BL282" s="123"/>
      <c r="BM282" s="124"/>
      <c r="BN282" s="125">
        <f>SUM(BN58:BN64)</f>
        <v>0</v>
      </c>
      <c r="BO282" s="145"/>
      <c r="BP282" s="145"/>
      <c r="BQ282" s="145"/>
      <c r="BR282" s="145"/>
      <c r="BS282" s="145"/>
      <c r="BT282" s="145"/>
      <c r="BU282" s="124"/>
      <c r="BV282" s="125">
        <f>SUM(BV58:BV64)</f>
        <v>0</v>
      </c>
      <c r="BX282" s="290"/>
      <c r="BY282" s="78"/>
      <c r="BZ282" s="78"/>
      <c r="CA282" s="78"/>
      <c r="CB282" s="78"/>
      <c r="CC282" s="123"/>
      <c r="CD282" s="124"/>
      <c r="CE282" s="125">
        <f>SUM(CE58:CE64)</f>
        <v>0</v>
      </c>
      <c r="CF282" s="145"/>
      <c r="CG282" s="145"/>
      <c r="CH282" s="145"/>
      <c r="CI282" s="145"/>
      <c r="CJ282" s="145"/>
      <c r="CK282" s="145"/>
      <c r="CL282" s="124"/>
      <c r="CM282" s="125">
        <f>SUM(CM58:CM64)</f>
        <v>0</v>
      </c>
      <c r="CN282" s="55"/>
      <c r="CO282" s="3"/>
      <c r="CP282" s="133">
        <f t="shared" si="413"/>
        <v>35.752117552644826</v>
      </c>
      <c r="CQ282" s="3"/>
      <c r="CR282" s="269">
        <f t="shared" si="414"/>
        <v>46.284702824331603</v>
      </c>
      <c r="CT282" s="269"/>
    </row>
    <row r="283" spans="1:98" x14ac:dyDescent="0.2">
      <c r="A283" s="411"/>
      <c r="B283" s="415" t="s">
        <v>402</v>
      </c>
      <c r="C283" s="234" t="s">
        <v>398</v>
      </c>
      <c r="D283" s="73" t="s">
        <v>407</v>
      </c>
      <c r="E283" s="83" t="s">
        <v>10</v>
      </c>
      <c r="F283" s="316"/>
      <c r="H283" s="290"/>
      <c r="I283" s="66"/>
      <c r="J283" s="66"/>
      <c r="K283" s="66"/>
      <c r="L283" s="66"/>
      <c r="M283" s="123"/>
      <c r="N283" s="124"/>
      <c r="O283" s="125">
        <f>SUM(O66:O98,O100:O119,O121:O128,O130:O157,O159:O164,O166:O174,O176:O191,O193:O198)</f>
        <v>0</v>
      </c>
      <c r="P283" s="145"/>
      <c r="Q283" s="145"/>
      <c r="R283" s="145"/>
      <c r="S283" s="145"/>
      <c r="T283" s="145"/>
      <c r="U283" s="145"/>
      <c r="V283" s="124"/>
      <c r="W283" s="125">
        <f>SUM(W66:W98,W100:W119,W121:W128,W130:W157,W159:W164,W166:W174,W176:W191,W193:W198)</f>
        <v>0</v>
      </c>
      <c r="Y283" s="290"/>
      <c r="Z283" s="66"/>
      <c r="AA283" s="66"/>
      <c r="AB283" s="66"/>
      <c r="AC283" s="66"/>
      <c r="AD283" s="123"/>
      <c r="AE283" s="124"/>
      <c r="AF283" s="125">
        <f>SUM(AF66:AF98,AF100:AF119,AF121:AF128,AF130:AF157,AF159:AF164,AF166:AF174,AF176:AF191,AF193:AF198)</f>
        <v>669.111092838638</v>
      </c>
      <c r="AG283" s="145"/>
      <c r="AH283" s="145"/>
      <c r="AI283" s="145"/>
      <c r="AJ283" s="145"/>
      <c r="AK283" s="145"/>
      <c r="AL283" s="145"/>
      <c r="AM283" s="124"/>
      <c r="AN283" s="125">
        <f>SUM(AN66:AN98,AN100:AN119,AN121:AN128,AN130:AN157,AN159:AN164,AN166:AN174,AN176:AN191,AN193:AN198)</f>
        <v>821.87454515914885</v>
      </c>
      <c r="AP283" s="290"/>
      <c r="AQ283" s="78"/>
      <c r="AR283" s="78"/>
      <c r="AS283" s="78"/>
      <c r="AT283" s="78"/>
      <c r="AU283" s="123"/>
      <c r="AV283" s="124"/>
      <c r="AW283" s="125">
        <f>SUM(AW66:AW98,AW100:AW119,AW121:AW128,AW130:AW157,AW159:AW164,AW166:AW174,AW176:AW191,AW193:AW198)</f>
        <v>0</v>
      </c>
      <c r="AX283" s="145"/>
      <c r="AY283" s="145"/>
      <c r="AZ283" s="145"/>
      <c r="BA283" s="145"/>
      <c r="BB283" s="145"/>
      <c r="BC283" s="145"/>
      <c r="BD283" s="124"/>
      <c r="BE283" s="125">
        <f>SUM(BE66:BE98,BE100:BE119,BE121:BE128,BE130:BE157,BE159:BE164,BE166:BE174,BE176:BE191,BE193:BE198)</f>
        <v>0</v>
      </c>
      <c r="BG283" s="290"/>
      <c r="BH283" s="78"/>
      <c r="BI283" s="78"/>
      <c r="BJ283" s="78"/>
      <c r="BK283" s="78"/>
      <c r="BL283" s="123"/>
      <c r="BM283" s="124"/>
      <c r="BN283" s="125">
        <f>SUM(BN66:BN98,BN100:BN119,BN121:BN128,BN130:BN157,BN159:BN164,BN166:BN174,BN176:BN191,BN193:BN198)</f>
        <v>0</v>
      </c>
      <c r="BO283" s="145"/>
      <c r="BP283" s="145"/>
      <c r="BQ283" s="145"/>
      <c r="BR283" s="145"/>
      <c r="BS283" s="145"/>
      <c r="BT283" s="145"/>
      <c r="BU283" s="124"/>
      <c r="BV283" s="125">
        <f>SUM(BV66:BV98,BV100:BV119,BV121:BV128,BV130:BV157,BV159:BV164,BV166:BV174,BV176:BV191,BV193:BV198)</f>
        <v>0</v>
      </c>
      <c r="BX283" s="290"/>
      <c r="BY283" s="78"/>
      <c r="BZ283" s="78"/>
      <c r="CA283" s="78"/>
      <c r="CB283" s="78"/>
      <c r="CC283" s="123"/>
      <c r="CD283" s="124"/>
      <c r="CE283" s="125">
        <f>SUM(CE66:CE98,CE100:CE119,CE121:CE128,CE130:CE157,CE159:CE164,CE166:CE174,CE176:CE191,CE193:CE198)</f>
        <v>0</v>
      </c>
      <c r="CF283" s="145"/>
      <c r="CG283" s="145"/>
      <c r="CH283" s="145"/>
      <c r="CI283" s="145"/>
      <c r="CJ283" s="145"/>
      <c r="CK283" s="145"/>
      <c r="CL283" s="124"/>
      <c r="CM283" s="125">
        <f>SUM(CM66:CM98,CM100:CM119,CM121:CM128,CM130:CM157,CM159:CM164,CM166:CM174,CM176:CM191,CM193:CM198)</f>
        <v>0</v>
      </c>
      <c r="CN283" s="55"/>
      <c r="CO283" s="3"/>
      <c r="CP283" s="133">
        <f t="shared" si="413"/>
        <v>669.111092838638</v>
      </c>
      <c r="CQ283" s="3"/>
      <c r="CR283" s="269">
        <f t="shared" si="414"/>
        <v>821.87454515914885</v>
      </c>
      <c r="CT283" s="269"/>
    </row>
    <row r="284" spans="1:98" x14ac:dyDescent="0.2">
      <c r="A284" s="411"/>
      <c r="B284" s="416"/>
      <c r="C284" s="234" t="s">
        <v>399</v>
      </c>
      <c r="D284" s="73" t="s">
        <v>408</v>
      </c>
      <c r="E284" s="83" t="s">
        <v>10</v>
      </c>
      <c r="F284" s="316"/>
      <c r="H284" s="290"/>
      <c r="I284" s="66"/>
      <c r="J284" s="66"/>
      <c r="K284" s="66"/>
      <c r="L284" s="66"/>
      <c r="M284" s="123"/>
      <c r="N284" s="124"/>
      <c r="O284" s="125">
        <f>SUM(O200:O213)</f>
        <v>0</v>
      </c>
      <c r="P284" s="145"/>
      <c r="Q284" s="145"/>
      <c r="R284" s="145"/>
      <c r="S284" s="145"/>
      <c r="T284" s="145"/>
      <c r="U284" s="145"/>
      <c r="V284" s="124"/>
      <c r="W284" s="125">
        <f>SUM(W200:W213)</f>
        <v>0</v>
      </c>
      <c r="Y284" s="290"/>
      <c r="Z284" s="66"/>
      <c r="AA284" s="66"/>
      <c r="AB284" s="66"/>
      <c r="AC284" s="66"/>
      <c r="AD284" s="123"/>
      <c r="AE284" s="124"/>
      <c r="AF284" s="125">
        <f>SUM(AF200:AF213)</f>
        <v>74.768609334578585</v>
      </c>
      <c r="AG284" s="145"/>
      <c r="AH284" s="145"/>
      <c r="AI284" s="145"/>
      <c r="AJ284" s="145"/>
      <c r="AK284" s="145"/>
      <c r="AL284" s="145"/>
      <c r="AM284" s="124"/>
      <c r="AN284" s="125">
        <f>SUM(AN200:AN213)</f>
        <v>87.38146409598896</v>
      </c>
      <c r="AP284" s="290"/>
      <c r="AQ284" s="78"/>
      <c r="AR284" s="78"/>
      <c r="AS284" s="78"/>
      <c r="AT284" s="78"/>
      <c r="AU284" s="123"/>
      <c r="AV284" s="124"/>
      <c r="AW284" s="125">
        <f>SUM(AW200:AW213)</f>
        <v>0</v>
      </c>
      <c r="AX284" s="145"/>
      <c r="AY284" s="145"/>
      <c r="AZ284" s="145"/>
      <c r="BA284" s="145"/>
      <c r="BB284" s="145"/>
      <c r="BC284" s="145"/>
      <c r="BD284" s="124"/>
      <c r="BE284" s="125">
        <f>SUM(BE200:BE213)</f>
        <v>0</v>
      </c>
      <c r="BG284" s="290"/>
      <c r="BH284" s="78"/>
      <c r="BI284" s="78"/>
      <c r="BJ284" s="78"/>
      <c r="BK284" s="78"/>
      <c r="BL284" s="123"/>
      <c r="BM284" s="124"/>
      <c r="BN284" s="125">
        <f>SUM(BN200:BN213)</f>
        <v>0</v>
      </c>
      <c r="BO284" s="145"/>
      <c r="BP284" s="145"/>
      <c r="BQ284" s="145"/>
      <c r="BR284" s="145"/>
      <c r="BS284" s="145"/>
      <c r="BT284" s="145"/>
      <c r="BU284" s="124"/>
      <c r="BV284" s="125">
        <f>SUM(BV200:BV213)</f>
        <v>0</v>
      </c>
      <c r="BX284" s="290"/>
      <c r="BY284" s="78"/>
      <c r="BZ284" s="78"/>
      <c r="CA284" s="78"/>
      <c r="CB284" s="78"/>
      <c r="CC284" s="123"/>
      <c r="CD284" s="124"/>
      <c r="CE284" s="125">
        <f>SUM(CE200:CE213)</f>
        <v>0</v>
      </c>
      <c r="CF284" s="145"/>
      <c r="CG284" s="145"/>
      <c r="CH284" s="145"/>
      <c r="CI284" s="145"/>
      <c r="CJ284" s="145"/>
      <c r="CK284" s="145"/>
      <c r="CL284" s="124"/>
      <c r="CM284" s="125">
        <f>SUM(CM200:CM213)</f>
        <v>0</v>
      </c>
      <c r="CN284" s="55"/>
      <c r="CO284" s="3"/>
      <c r="CP284" s="133">
        <f t="shared" si="413"/>
        <v>74.768609334578585</v>
      </c>
      <c r="CQ284" s="3"/>
      <c r="CR284" s="269">
        <f t="shared" si="414"/>
        <v>87.38146409598896</v>
      </c>
      <c r="CT284" s="269"/>
    </row>
    <row r="285" spans="1:98" ht="13.5" thickBot="1" x14ac:dyDescent="0.25">
      <c r="A285" s="411"/>
      <c r="B285" s="417"/>
      <c r="C285" s="234" t="s">
        <v>400</v>
      </c>
      <c r="D285" s="73" t="s">
        <v>409</v>
      </c>
      <c r="E285" s="83" t="s">
        <v>10</v>
      </c>
      <c r="F285" s="316"/>
      <c r="H285" s="290"/>
      <c r="I285" s="66"/>
      <c r="J285" s="66"/>
      <c r="K285" s="66"/>
      <c r="L285" s="66"/>
      <c r="M285" s="123"/>
      <c r="N285" s="124"/>
      <c r="O285" s="125">
        <f>SUM(O215:O223,O225:O240)</f>
        <v>0</v>
      </c>
      <c r="P285" s="145"/>
      <c r="Q285" s="145"/>
      <c r="R285" s="145"/>
      <c r="S285" s="145"/>
      <c r="T285" s="145"/>
      <c r="U285" s="145"/>
      <c r="V285" s="124"/>
      <c r="W285" s="125">
        <f>SUM(W215:W223,W225:W240)</f>
        <v>0</v>
      </c>
      <c r="Y285" s="290"/>
      <c r="Z285" s="66"/>
      <c r="AA285" s="66"/>
      <c r="AB285" s="66"/>
      <c r="AC285" s="66"/>
      <c r="AD285" s="123"/>
      <c r="AE285" s="124"/>
      <c r="AF285" s="125">
        <f>SUM(AF215:AF223,AF225:AF240)</f>
        <v>301.31588849175569</v>
      </c>
      <c r="AG285" s="145"/>
      <c r="AH285" s="145"/>
      <c r="AI285" s="145"/>
      <c r="AJ285" s="145"/>
      <c r="AK285" s="145"/>
      <c r="AL285" s="145"/>
      <c r="AM285" s="124"/>
      <c r="AN285" s="125">
        <f>SUM(AN215:AN223,AN225:AN240)</f>
        <v>406.17429071158119</v>
      </c>
      <c r="AP285" s="290"/>
      <c r="AQ285" s="78"/>
      <c r="AR285" s="78"/>
      <c r="AS285" s="78"/>
      <c r="AT285" s="78"/>
      <c r="AU285" s="123"/>
      <c r="AV285" s="124"/>
      <c r="AW285" s="125">
        <f>SUM(AW215:AW223,AW225:AW240)</f>
        <v>0</v>
      </c>
      <c r="AX285" s="145"/>
      <c r="AY285" s="145"/>
      <c r="AZ285" s="145"/>
      <c r="BA285" s="145"/>
      <c r="BB285" s="145"/>
      <c r="BC285" s="145"/>
      <c r="BD285" s="124"/>
      <c r="BE285" s="125">
        <f>SUM(BE215:BE223,BE225:BE240)</f>
        <v>0</v>
      </c>
      <c r="BG285" s="290"/>
      <c r="BH285" s="78"/>
      <c r="BI285" s="78"/>
      <c r="BJ285" s="78"/>
      <c r="BK285" s="78"/>
      <c r="BL285" s="123"/>
      <c r="BM285" s="124"/>
      <c r="BN285" s="125">
        <f>SUM(BN215:BN223,BN225:BN240)</f>
        <v>0</v>
      </c>
      <c r="BO285" s="145"/>
      <c r="BP285" s="145"/>
      <c r="BQ285" s="145"/>
      <c r="BR285" s="145"/>
      <c r="BS285" s="145"/>
      <c r="BT285" s="145"/>
      <c r="BU285" s="124"/>
      <c r="BV285" s="125">
        <f>SUM(BV215:BV223,BV225:BV240)</f>
        <v>0</v>
      </c>
      <c r="BX285" s="290"/>
      <c r="BY285" s="78"/>
      <c r="BZ285" s="78"/>
      <c r="CA285" s="78"/>
      <c r="CB285" s="78"/>
      <c r="CC285" s="123"/>
      <c r="CD285" s="124"/>
      <c r="CE285" s="125">
        <f>SUM(CE215:CE223,CE225:CE240)</f>
        <v>0</v>
      </c>
      <c r="CF285" s="145"/>
      <c r="CG285" s="145"/>
      <c r="CH285" s="145"/>
      <c r="CI285" s="145"/>
      <c r="CJ285" s="145"/>
      <c r="CK285" s="145"/>
      <c r="CL285" s="124"/>
      <c r="CM285" s="125">
        <f>SUM(CM215:CM223,CM225:CM240)</f>
        <v>0</v>
      </c>
      <c r="CN285" s="55"/>
      <c r="CO285" s="3"/>
      <c r="CP285" s="133">
        <f t="shared" si="413"/>
        <v>301.31588849175569</v>
      </c>
      <c r="CQ285" s="3"/>
      <c r="CR285" s="134">
        <f t="shared" si="414"/>
        <v>406.17429071158119</v>
      </c>
      <c r="CT285" s="134"/>
    </row>
    <row r="286" spans="1:98" ht="6.75" customHeight="1" thickBot="1" x14ac:dyDescent="0.25">
      <c r="A286" s="84"/>
      <c r="B286" s="85"/>
      <c r="C286" s="86"/>
      <c r="D286" s="276"/>
      <c r="E286" s="86"/>
      <c r="F286" s="309"/>
      <c r="H286" s="259"/>
      <c r="I286" s="87"/>
      <c r="J286" s="87"/>
      <c r="K286" s="87"/>
      <c r="L286" s="87"/>
      <c r="M286" s="88"/>
      <c r="N286" s="88"/>
      <c r="O286" s="89"/>
      <c r="P286" s="88"/>
      <c r="Q286" s="88"/>
      <c r="R286" s="88"/>
      <c r="S286" s="88"/>
      <c r="T286" s="88"/>
      <c r="U286" s="88"/>
      <c r="V286" s="88"/>
      <c r="W286" s="288"/>
      <c r="Y286" s="259"/>
      <c r="Z286" s="87"/>
      <c r="AA286" s="87"/>
      <c r="AB286" s="87"/>
      <c r="AC286" s="87"/>
      <c r="AD286" s="88"/>
      <c r="AE286" s="88"/>
      <c r="AF286" s="89"/>
      <c r="AG286" s="88"/>
      <c r="AH286" s="88"/>
      <c r="AI286" s="88"/>
      <c r="AJ286" s="88"/>
      <c r="AK286" s="88"/>
      <c r="AL286" s="88"/>
      <c r="AM286" s="88"/>
      <c r="AN286" s="288"/>
      <c r="AP286" s="259"/>
      <c r="AQ286" s="87"/>
      <c r="AR286" s="87"/>
      <c r="AS286" s="87"/>
      <c r="AT286" s="87"/>
      <c r="AU286" s="88"/>
      <c r="AV286" s="88"/>
      <c r="AW286" s="89"/>
      <c r="AX286" s="88"/>
      <c r="AY286" s="88"/>
      <c r="AZ286" s="88"/>
      <c r="BA286" s="88"/>
      <c r="BB286" s="88"/>
      <c r="BC286" s="88"/>
      <c r="BD286" s="88"/>
      <c r="BE286" s="288"/>
      <c r="BG286" s="259"/>
      <c r="BH286" s="87"/>
      <c r="BI286" s="87"/>
      <c r="BJ286" s="87"/>
      <c r="BK286" s="87"/>
      <c r="BL286" s="88"/>
      <c r="BM286" s="88"/>
      <c r="BN286" s="89"/>
      <c r="BO286" s="88"/>
      <c r="BP286" s="88"/>
      <c r="BQ286" s="88"/>
      <c r="BR286" s="88"/>
      <c r="BS286" s="88"/>
      <c r="BT286" s="88"/>
      <c r="BU286" s="88"/>
      <c r="BV286" s="288"/>
      <c r="BX286" s="259"/>
      <c r="BY286" s="87"/>
      <c r="BZ286" s="87"/>
      <c r="CA286" s="87"/>
      <c r="CB286" s="87"/>
      <c r="CC286" s="88"/>
      <c r="CD286" s="88"/>
      <c r="CE286" s="89"/>
      <c r="CF286" s="88"/>
      <c r="CG286" s="88"/>
      <c r="CH286" s="88"/>
      <c r="CI286" s="88"/>
      <c r="CJ286" s="88"/>
      <c r="CK286" s="88"/>
      <c r="CL286" s="88"/>
      <c r="CM286" s="288"/>
      <c r="CN286" s="64"/>
      <c r="CO286" s="63"/>
      <c r="CP286" s="135"/>
      <c r="CQ286" s="3"/>
      <c r="CR286" s="135"/>
      <c r="CT286" s="135"/>
    </row>
    <row r="287" spans="1:98" ht="18" x14ac:dyDescent="0.2">
      <c r="A287" s="406" t="s">
        <v>346</v>
      </c>
      <c r="B287" s="407"/>
      <c r="C287" s="282"/>
      <c r="D287" s="283"/>
      <c r="E287" s="284" t="s">
        <v>15</v>
      </c>
      <c r="F287" s="317"/>
      <c r="H287" s="290"/>
      <c r="I287" s="66"/>
      <c r="J287" s="66"/>
      <c r="K287" s="66"/>
      <c r="L287" s="66"/>
      <c r="M287" s="120"/>
      <c r="N287" s="121"/>
      <c r="O287" s="79">
        <f>O5-O4</f>
        <v>2.5949999999999989</v>
      </c>
      <c r="P287" s="144"/>
      <c r="Q287" s="144"/>
      <c r="R287" s="144"/>
      <c r="S287" s="144"/>
      <c r="T287" s="144"/>
      <c r="U287" s="144"/>
      <c r="V287" s="362">
        <v>1</v>
      </c>
      <c r="W287" s="263">
        <f>O287*V287</f>
        <v>2.5949999999999989</v>
      </c>
      <c r="Y287" s="290"/>
      <c r="Z287" s="66"/>
      <c r="AA287" s="66"/>
      <c r="AB287" s="66"/>
      <c r="AC287" s="66"/>
      <c r="AD287" s="120"/>
      <c r="AE287" s="121"/>
      <c r="AF287" s="79">
        <f>AF5-AF4</f>
        <v>1.804000000000002</v>
      </c>
      <c r="AG287" s="144"/>
      <c r="AH287" s="144"/>
      <c r="AI287" s="144"/>
      <c r="AJ287" s="144"/>
      <c r="AK287" s="144"/>
      <c r="AL287" s="144"/>
      <c r="AM287" s="362">
        <v>1</v>
      </c>
      <c r="AN287" s="263">
        <f>AF287*AM287</f>
        <v>1.804000000000002</v>
      </c>
      <c r="AP287" s="290"/>
      <c r="AQ287" s="78"/>
      <c r="AR287" s="78"/>
      <c r="AS287" s="78"/>
      <c r="AT287" s="78"/>
      <c r="AU287" s="120"/>
      <c r="AV287" s="121"/>
      <c r="AW287" s="79">
        <f>AW5-AW4</f>
        <v>1.0510000000000019</v>
      </c>
      <c r="AX287" s="144"/>
      <c r="AY287" s="144"/>
      <c r="AZ287" s="144"/>
      <c r="BA287" s="144"/>
      <c r="BB287" s="144"/>
      <c r="BC287" s="144"/>
      <c r="BD287" s="362">
        <v>1</v>
      </c>
      <c r="BE287" s="263">
        <f>AW287*BD287</f>
        <v>1.0510000000000019</v>
      </c>
      <c r="BG287" s="290"/>
      <c r="BH287" s="78"/>
      <c r="BI287" s="78"/>
      <c r="BJ287" s="78"/>
      <c r="BK287" s="78"/>
      <c r="BL287" s="120"/>
      <c r="BM287" s="121"/>
      <c r="BN287" s="79">
        <f>BN5-BN4</f>
        <v>0</v>
      </c>
      <c r="BO287" s="144"/>
      <c r="BP287" s="144"/>
      <c r="BQ287" s="144"/>
      <c r="BR287" s="144"/>
      <c r="BS287" s="144"/>
      <c r="BT287" s="144"/>
      <c r="BU287" s="362">
        <v>1</v>
      </c>
      <c r="BV287" s="263">
        <f>BN287*BU287</f>
        <v>0</v>
      </c>
      <c r="BX287" s="290"/>
      <c r="BY287" s="78"/>
      <c r="BZ287" s="78"/>
      <c r="CA287" s="78"/>
      <c r="CB287" s="78"/>
      <c r="CC287" s="120"/>
      <c r="CD287" s="121"/>
      <c r="CE287" s="79">
        <f>CE5-CE4</f>
        <v>0</v>
      </c>
      <c r="CF287" s="144"/>
      <c r="CG287" s="144"/>
      <c r="CH287" s="144"/>
      <c r="CI287" s="144"/>
      <c r="CJ287" s="144"/>
      <c r="CK287" s="144"/>
      <c r="CL287" s="362">
        <v>1</v>
      </c>
      <c r="CM287" s="263">
        <f>CE287*CL287</f>
        <v>0</v>
      </c>
      <c r="CN287" s="64"/>
      <c r="CO287" s="63"/>
      <c r="CP287" s="133">
        <f t="shared" si="413"/>
        <v>5.4500000000000028</v>
      </c>
      <c r="CQ287" s="3"/>
      <c r="CR287" s="269">
        <f>CP287</f>
        <v>5.4500000000000028</v>
      </c>
      <c r="CT287" s="269"/>
    </row>
    <row r="288" spans="1:98" ht="18" customHeight="1" thickBot="1" x14ac:dyDescent="0.25">
      <c r="A288" s="401" t="s">
        <v>447</v>
      </c>
      <c r="B288" s="402"/>
      <c r="C288" s="109"/>
      <c r="D288" s="285"/>
      <c r="E288" s="286" t="s">
        <v>329</v>
      </c>
      <c r="F288" s="318"/>
      <c r="H288" s="290"/>
      <c r="I288" s="66"/>
      <c r="J288" s="66"/>
      <c r="K288" s="66"/>
      <c r="L288" s="66"/>
      <c r="M288" s="128"/>
      <c r="N288" s="129"/>
      <c r="O288" s="131">
        <f>IF(O287&lt;&gt;0,O277/O287,"")</f>
        <v>7.6422326706450265</v>
      </c>
      <c r="P288" s="148"/>
      <c r="Q288" s="148"/>
      <c r="R288" s="148"/>
      <c r="S288" s="148"/>
      <c r="T288" s="148"/>
      <c r="U288" s="148"/>
      <c r="V288" s="129"/>
      <c r="W288" s="131">
        <f>IF(W287&lt;&gt;0,W277/W287,"")</f>
        <v>10.346292635896251</v>
      </c>
      <c r="Y288" s="290"/>
      <c r="Z288" s="66"/>
      <c r="AA288" s="66"/>
      <c r="AB288" s="66"/>
      <c r="AC288" s="66"/>
      <c r="AD288" s="128"/>
      <c r="AE288" s="129"/>
      <c r="AF288" s="131">
        <f>IF(AF287&lt;&gt;0,AF277/AF287,"")</f>
        <v>1072.7663457335836</v>
      </c>
      <c r="AG288" s="148"/>
      <c r="AH288" s="148"/>
      <c r="AI288" s="148"/>
      <c r="AJ288" s="148"/>
      <c r="AK288" s="148"/>
      <c r="AL288" s="148"/>
      <c r="AM288" s="129"/>
      <c r="AN288" s="131">
        <f>IF(AN287&lt;&gt;0,AN277/AN287,"")</f>
        <v>1379.1462797323943</v>
      </c>
      <c r="AP288" s="290"/>
      <c r="AQ288" s="78"/>
      <c r="AR288" s="78"/>
      <c r="AS288" s="78"/>
      <c r="AT288" s="78"/>
      <c r="AU288" s="128"/>
      <c r="AV288" s="129"/>
      <c r="AW288" s="131">
        <f>IF(AW287&lt;&gt;0,AW277/AW287,"")</f>
        <v>2.2477871008446271</v>
      </c>
      <c r="AX288" s="148"/>
      <c r="AY288" s="148"/>
      <c r="AZ288" s="148"/>
      <c r="BA288" s="148"/>
      <c r="BB288" s="148"/>
      <c r="BC288" s="148"/>
      <c r="BD288" s="129"/>
      <c r="BE288" s="131">
        <f>IF(BE287&lt;&gt;0,BE277/BE287,"")</f>
        <v>3.0431241929943034</v>
      </c>
      <c r="BG288" s="290"/>
      <c r="BH288" s="289"/>
      <c r="BI288" s="289"/>
      <c r="BJ288" s="289"/>
      <c r="BK288" s="289"/>
      <c r="BL288" s="128"/>
      <c r="BM288" s="129"/>
      <c r="BN288" s="131" t="str">
        <f>IF(BN287&lt;&gt;0,BN277/BN287,"")</f>
        <v/>
      </c>
      <c r="BO288" s="148"/>
      <c r="BP288" s="148"/>
      <c r="BQ288" s="148"/>
      <c r="BR288" s="148"/>
      <c r="BS288" s="148"/>
      <c r="BT288" s="148"/>
      <c r="BU288" s="129"/>
      <c r="BV288" s="131" t="str">
        <f>IF(BV287&lt;&gt;0,BV277/BV287,"")</f>
        <v/>
      </c>
      <c r="BX288" s="290"/>
      <c r="BY288" s="78"/>
      <c r="BZ288" s="78"/>
      <c r="CA288" s="78"/>
      <c r="CB288" s="78"/>
      <c r="CC288" s="128"/>
      <c r="CD288" s="129"/>
      <c r="CE288" s="131" t="str">
        <f>IF(CE287&lt;&gt;0,CE277/CE287,"")</f>
        <v/>
      </c>
      <c r="CF288" s="148"/>
      <c r="CG288" s="148"/>
      <c r="CH288" s="148"/>
      <c r="CI288" s="148"/>
      <c r="CJ288" s="148"/>
      <c r="CK288" s="148"/>
      <c r="CL288" s="129"/>
      <c r="CM288" s="131" t="str">
        <f>IF(CM287&lt;&gt;0,CM277/CM287,"")</f>
        <v/>
      </c>
      <c r="CN288" s="64"/>
      <c r="CO288" s="63"/>
      <c r="CP288" s="136">
        <f>IF(CP287&lt;&gt;0,CP277/CP287,"")</f>
        <v>359.16779921590785</v>
      </c>
      <c r="CQ288" s="3"/>
      <c r="CR288" s="136">
        <f>IF(CR287&lt;&gt;0,CR277/CR287,"")</f>
        <v>462.02327367967501</v>
      </c>
      <c r="CT288" s="136"/>
    </row>
    <row r="289" spans="1:98" ht="6.75" customHeight="1" thickBot="1" x14ac:dyDescent="0.25">
      <c r="A289" s="84"/>
      <c r="B289" s="85"/>
      <c r="C289" s="86"/>
      <c r="D289" s="276"/>
      <c r="E289" s="86"/>
      <c r="F289" s="277"/>
      <c r="H289" s="259"/>
      <c r="I289" s="87"/>
      <c r="J289" s="87"/>
      <c r="K289" s="87"/>
      <c r="L289" s="87"/>
      <c r="M289" s="88"/>
      <c r="N289" s="88"/>
      <c r="O289" s="89"/>
      <c r="P289" s="88"/>
      <c r="Q289" s="88"/>
      <c r="R289" s="88"/>
      <c r="S289" s="88"/>
      <c r="T289" s="88"/>
      <c r="U289" s="88"/>
      <c r="V289" s="88"/>
      <c r="W289" s="288"/>
      <c r="Y289" s="259"/>
      <c r="Z289" s="87"/>
      <c r="AA289" s="87"/>
      <c r="AB289" s="87"/>
      <c r="AC289" s="87"/>
      <c r="AD289" s="88"/>
      <c r="AE289" s="88"/>
      <c r="AF289" s="89"/>
      <c r="AG289" s="88"/>
      <c r="AH289" s="88"/>
      <c r="AI289" s="88"/>
      <c r="AJ289" s="88"/>
      <c r="AK289" s="88"/>
      <c r="AL289" s="88"/>
      <c r="AM289" s="88"/>
      <c r="AN289" s="288"/>
      <c r="AP289" s="259"/>
      <c r="AQ289" s="87"/>
      <c r="AR289" s="87"/>
      <c r="AS289" s="87"/>
      <c r="AT289" s="87"/>
      <c r="AU289" s="88"/>
      <c r="AV289" s="88"/>
      <c r="AW289" s="89"/>
      <c r="AX289" s="88"/>
      <c r="AY289" s="88"/>
      <c r="AZ289" s="88"/>
      <c r="BA289" s="88"/>
      <c r="BB289" s="88"/>
      <c r="BC289" s="88"/>
      <c r="BD289" s="88"/>
      <c r="BE289" s="288"/>
      <c r="BG289" s="259"/>
      <c r="BH289" s="87"/>
      <c r="BI289" s="87"/>
      <c r="BJ289" s="87"/>
      <c r="BK289" s="87"/>
      <c r="BL289" s="88"/>
      <c r="BM289" s="88"/>
      <c r="BN289" s="89"/>
      <c r="BO289" s="88"/>
      <c r="BP289" s="88"/>
      <c r="BQ289" s="88"/>
      <c r="BR289" s="88"/>
      <c r="BS289" s="88"/>
      <c r="BT289" s="88"/>
      <c r="BU289" s="88"/>
      <c r="BV289" s="288"/>
      <c r="BX289" s="259"/>
      <c r="BY289" s="87"/>
      <c r="BZ289" s="87"/>
      <c r="CA289" s="87"/>
      <c r="CB289" s="87"/>
      <c r="CC289" s="88"/>
      <c r="CD289" s="88"/>
      <c r="CE289" s="89"/>
      <c r="CF289" s="88"/>
      <c r="CG289" s="88"/>
      <c r="CH289" s="88"/>
      <c r="CI289" s="88"/>
      <c r="CJ289" s="88"/>
      <c r="CK289" s="88"/>
      <c r="CL289" s="88"/>
      <c r="CM289" s="288"/>
      <c r="CN289" s="64"/>
      <c r="CO289" s="63"/>
      <c r="CP289" s="287"/>
      <c r="CQ289" s="3"/>
      <c r="CR289" s="287"/>
      <c r="CT289" s="287"/>
    </row>
    <row r="290" spans="1:98" x14ac:dyDescent="0.2">
      <c r="A290" s="3"/>
      <c r="B290" s="3"/>
      <c r="C290" s="3"/>
      <c r="D290" s="3"/>
      <c r="E290" s="65"/>
      <c r="F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Y290" s="66"/>
      <c r="Z290" s="66"/>
      <c r="AA290" s="66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  <c r="CN290" s="3"/>
      <c r="CO290" s="3"/>
      <c r="CP290" s="3"/>
      <c r="CQ290" s="3"/>
      <c r="CR290" s="3"/>
      <c r="CT290" s="3"/>
    </row>
    <row r="291" spans="1:98" x14ac:dyDescent="0.2">
      <c r="A291" s="3"/>
      <c r="B291" s="3"/>
      <c r="C291" s="3"/>
      <c r="D291" s="3"/>
      <c r="E291" s="65"/>
      <c r="F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Y291" s="66"/>
      <c r="Z291" s="66"/>
      <c r="AA291" s="66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  <c r="CN291" s="3"/>
      <c r="CO291" s="3"/>
      <c r="CP291" s="3"/>
      <c r="CQ291" s="3"/>
      <c r="CR291" s="3"/>
      <c r="CT291" s="3"/>
    </row>
    <row r="292" spans="1:98" x14ac:dyDescent="0.2">
      <c r="A292" s="3"/>
      <c r="B292" s="3"/>
      <c r="C292" s="3"/>
      <c r="D292" s="3"/>
      <c r="E292" s="65"/>
      <c r="F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Y292" s="66"/>
      <c r="Z292" s="66"/>
      <c r="AA292" s="66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  <c r="CH292" s="3"/>
      <c r="CI292" s="3"/>
      <c r="CJ292" s="3"/>
      <c r="CK292" s="3"/>
      <c r="CL292" s="3"/>
      <c r="CM292" s="3"/>
      <c r="CN292" s="3"/>
      <c r="CO292" s="3"/>
      <c r="CP292" s="3"/>
      <c r="CQ292" s="3"/>
      <c r="CR292" s="3"/>
      <c r="CT292" s="3"/>
    </row>
    <row r="293" spans="1:98" x14ac:dyDescent="0.2">
      <c r="A293" s="3"/>
      <c r="B293" s="3"/>
      <c r="C293" s="3"/>
      <c r="D293" s="3"/>
      <c r="E293" s="65"/>
      <c r="F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Y293" s="66"/>
      <c r="Z293" s="66"/>
      <c r="AA293" s="66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  <c r="CH293" s="3"/>
      <c r="CI293" s="3"/>
      <c r="CJ293" s="3"/>
      <c r="CK293" s="3"/>
      <c r="CL293" s="3"/>
      <c r="CM293" s="3"/>
      <c r="CN293" s="3"/>
      <c r="CO293" s="3"/>
      <c r="CP293" s="3"/>
      <c r="CQ293" s="3"/>
      <c r="CR293" s="3"/>
      <c r="CT293" s="3"/>
    </row>
    <row r="294" spans="1:98" x14ac:dyDescent="0.2">
      <c r="A294" s="3"/>
      <c r="B294" s="3"/>
      <c r="C294" s="3"/>
      <c r="D294" s="3"/>
      <c r="E294" s="65"/>
      <c r="F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Y294" s="66"/>
      <c r="Z294" s="66"/>
      <c r="AA294" s="66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X294" s="3"/>
      <c r="BY294" s="3"/>
      <c r="BZ294" s="3"/>
      <c r="CA294" s="3"/>
      <c r="CB294" s="3"/>
      <c r="CC294" s="3"/>
      <c r="CD294" s="3"/>
      <c r="CE294" s="3"/>
      <c r="CF294" s="3"/>
      <c r="CG294" s="3"/>
      <c r="CH294" s="3"/>
      <c r="CI294" s="3"/>
      <c r="CJ294" s="3"/>
      <c r="CK294" s="3"/>
      <c r="CL294" s="3"/>
      <c r="CM294" s="3"/>
      <c r="CN294" s="3"/>
      <c r="CO294" s="3"/>
      <c r="CP294" s="3"/>
      <c r="CQ294" s="3"/>
      <c r="CR294" s="3"/>
      <c r="CT294" s="3"/>
    </row>
    <row r="295" spans="1:98" x14ac:dyDescent="0.2">
      <c r="A295" s="3"/>
      <c r="B295" s="3"/>
      <c r="C295" s="3"/>
      <c r="D295" s="3"/>
      <c r="E295" s="65"/>
      <c r="F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Y295" s="66"/>
      <c r="Z295" s="66"/>
      <c r="AA295" s="66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G295" s="3"/>
      <c r="BH295" s="3"/>
      <c r="BI295" s="3"/>
      <c r="BJ295" s="3"/>
      <c r="BK295" s="3"/>
      <c r="BL295" s="3"/>
      <c r="BM295" s="3"/>
      <c r="BN295" s="3"/>
      <c r="BO295" s="3"/>
      <c r="BP295" s="3"/>
      <c r="BQ295" s="3"/>
      <c r="BR295" s="3"/>
      <c r="BS295" s="3"/>
      <c r="BT295" s="3"/>
      <c r="BU295" s="3"/>
      <c r="BV295" s="3"/>
      <c r="BX295" s="3"/>
      <c r="BY295" s="3"/>
      <c r="BZ295" s="3"/>
      <c r="CA295" s="3"/>
      <c r="CB295" s="3"/>
      <c r="CC295" s="3"/>
      <c r="CD295" s="3"/>
      <c r="CE295" s="3"/>
      <c r="CF295" s="3"/>
      <c r="CG295" s="3"/>
      <c r="CH295" s="3"/>
      <c r="CI295" s="3"/>
      <c r="CJ295" s="3"/>
      <c r="CK295" s="3"/>
      <c r="CL295" s="3"/>
      <c r="CM295" s="3"/>
      <c r="CN295" s="3"/>
      <c r="CO295" s="3"/>
      <c r="CP295" s="3"/>
      <c r="CQ295" s="3"/>
      <c r="CR295" s="3"/>
      <c r="CT295" s="3"/>
    </row>
    <row r="296" spans="1:98" x14ac:dyDescent="0.2">
      <c r="A296" s="3"/>
      <c r="B296" s="3"/>
      <c r="C296" s="3"/>
      <c r="D296" s="3"/>
      <c r="E296" s="65"/>
      <c r="F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Y296" s="66"/>
      <c r="Z296" s="66"/>
      <c r="AA296" s="66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G296" s="3"/>
      <c r="BH296" s="3"/>
      <c r="BI296" s="3"/>
      <c r="BJ296" s="3"/>
      <c r="BK296" s="3"/>
      <c r="BL296" s="3"/>
      <c r="BM296" s="3"/>
      <c r="BN296" s="3"/>
      <c r="BO296" s="3"/>
      <c r="BP296" s="3"/>
      <c r="BQ296" s="3"/>
      <c r="BR296" s="3"/>
      <c r="BS296" s="3"/>
      <c r="BT296" s="3"/>
      <c r="BU296" s="3"/>
      <c r="BV296" s="3"/>
      <c r="BX296" s="3"/>
      <c r="BY296" s="3"/>
      <c r="BZ296" s="3"/>
      <c r="CA296" s="3"/>
      <c r="CB296" s="3"/>
      <c r="CC296" s="3"/>
      <c r="CD296" s="3"/>
      <c r="CE296" s="3"/>
      <c r="CF296" s="3"/>
      <c r="CG296" s="3"/>
      <c r="CH296" s="3"/>
      <c r="CI296" s="3"/>
      <c r="CJ296" s="3"/>
      <c r="CK296" s="3"/>
      <c r="CL296" s="3"/>
      <c r="CM296" s="3"/>
      <c r="CN296" s="3"/>
      <c r="CO296" s="3"/>
      <c r="CP296" s="3"/>
      <c r="CQ296" s="3"/>
      <c r="CR296" s="3"/>
      <c r="CT296" s="3"/>
    </row>
    <row r="297" spans="1:98" x14ac:dyDescent="0.2">
      <c r="A297" s="3"/>
      <c r="B297" s="3"/>
      <c r="C297" s="3"/>
      <c r="D297" s="3"/>
      <c r="E297" s="65"/>
      <c r="F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Y297" s="66"/>
      <c r="Z297" s="66"/>
      <c r="AA297" s="66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G297" s="3"/>
      <c r="BH297" s="3"/>
      <c r="BI297" s="3"/>
      <c r="BJ297" s="3"/>
      <c r="BK297" s="3"/>
      <c r="BL297" s="3"/>
      <c r="BM297" s="3"/>
      <c r="BN297" s="3"/>
      <c r="BO297" s="3"/>
      <c r="BP297" s="3"/>
      <c r="BQ297" s="3"/>
      <c r="BR297" s="3"/>
      <c r="BS297" s="3"/>
      <c r="BT297" s="3"/>
      <c r="BU297" s="3"/>
      <c r="BV297" s="3"/>
      <c r="BX297" s="3"/>
      <c r="BY297" s="3"/>
      <c r="BZ297" s="3"/>
      <c r="CA297" s="3"/>
      <c r="CB297" s="3"/>
      <c r="CC297" s="3"/>
      <c r="CD297" s="3"/>
      <c r="CE297" s="3"/>
      <c r="CF297" s="3"/>
      <c r="CG297" s="3"/>
      <c r="CH297" s="3"/>
      <c r="CI297" s="3"/>
      <c r="CJ297" s="3"/>
      <c r="CK297" s="3"/>
      <c r="CL297" s="3"/>
      <c r="CM297" s="3"/>
      <c r="CN297" s="3"/>
      <c r="CO297" s="3"/>
      <c r="CP297" s="3"/>
      <c r="CQ297" s="3"/>
      <c r="CR297" s="3"/>
      <c r="CT297" s="3"/>
    </row>
    <row r="298" spans="1:98" x14ac:dyDescent="0.2">
      <c r="A298" s="3"/>
      <c r="B298" s="3"/>
      <c r="C298" s="3"/>
      <c r="D298" s="3"/>
      <c r="E298" s="65"/>
      <c r="F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Y298" s="66"/>
      <c r="Z298" s="66"/>
      <c r="AA298" s="66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G298" s="3"/>
      <c r="BH298" s="3"/>
      <c r="BI298" s="3"/>
      <c r="BJ298" s="3"/>
      <c r="BK298" s="3"/>
      <c r="BL298" s="3"/>
      <c r="BM298" s="3"/>
      <c r="BN298" s="3"/>
      <c r="BO298" s="3"/>
      <c r="BP298" s="3"/>
      <c r="BQ298" s="3"/>
      <c r="BR298" s="3"/>
      <c r="BS298" s="3"/>
      <c r="BT298" s="3"/>
      <c r="BU298" s="3"/>
      <c r="BV298" s="3"/>
      <c r="BX298" s="3"/>
      <c r="BY298" s="3"/>
      <c r="BZ298" s="3"/>
      <c r="CA298" s="3"/>
      <c r="CB298" s="3"/>
      <c r="CC298" s="3"/>
      <c r="CD298" s="3"/>
      <c r="CE298" s="3"/>
      <c r="CF298" s="3"/>
      <c r="CG298" s="3"/>
      <c r="CH298" s="3"/>
      <c r="CI298" s="3"/>
      <c r="CJ298" s="3"/>
      <c r="CK298" s="3"/>
      <c r="CL298" s="3"/>
      <c r="CM298" s="3"/>
      <c r="CN298" s="3"/>
      <c r="CO298" s="3"/>
      <c r="CP298" s="3"/>
      <c r="CQ298" s="3"/>
      <c r="CR298" s="3"/>
      <c r="CT298" s="3"/>
    </row>
    <row r="299" spans="1:98" x14ac:dyDescent="0.2">
      <c r="A299" s="3"/>
      <c r="B299" s="3"/>
      <c r="C299" s="3"/>
      <c r="D299" s="3"/>
      <c r="E299" s="65"/>
      <c r="F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Y299" s="66"/>
      <c r="Z299" s="66"/>
      <c r="AA299" s="66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G299" s="3"/>
      <c r="BH299" s="3"/>
      <c r="BI299" s="3"/>
      <c r="BJ299" s="3"/>
      <c r="BK299" s="3"/>
      <c r="BL299" s="3"/>
      <c r="BM299" s="3"/>
      <c r="BN299" s="3"/>
      <c r="BO299" s="3"/>
      <c r="BP299" s="3"/>
      <c r="BQ299" s="3"/>
      <c r="BR299" s="3"/>
      <c r="BS299" s="3"/>
      <c r="BT299" s="3"/>
      <c r="BU299" s="3"/>
      <c r="BV299" s="3"/>
      <c r="BX299" s="3"/>
      <c r="BY299" s="3"/>
      <c r="BZ299" s="3"/>
      <c r="CA299" s="3"/>
      <c r="CB299" s="3"/>
      <c r="CC299" s="3"/>
      <c r="CD299" s="3"/>
      <c r="CE299" s="3"/>
      <c r="CF299" s="3"/>
      <c r="CG299" s="3"/>
      <c r="CH299" s="3"/>
      <c r="CI299" s="3"/>
      <c r="CJ299" s="3"/>
      <c r="CK299" s="3"/>
      <c r="CL299" s="3"/>
      <c r="CM299" s="3"/>
      <c r="CN299" s="3"/>
      <c r="CO299" s="3"/>
      <c r="CP299" s="3"/>
      <c r="CQ299" s="3"/>
      <c r="CR299" s="3"/>
      <c r="CT299" s="3"/>
    </row>
    <row r="300" spans="1:98" x14ac:dyDescent="0.2">
      <c r="A300" s="3"/>
      <c r="B300" s="3"/>
      <c r="C300" s="3"/>
      <c r="D300" s="3"/>
      <c r="E300" s="65"/>
      <c r="F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Y300" s="66"/>
      <c r="Z300" s="66"/>
      <c r="AA300" s="66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G300" s="3"/>
      <c r="BH300" s="3"/>
      <c r="BI300" s="3"/>
      <c r="BJ300" s="3"/>
      <c r="BK300" s="3"/>
      <c r="BL300" s="3"/>
      <c r="BM300" s="3"/>
      <c r="BN300" s="3"/>
      <c r="BO300" s="3"/>
      <c r="BP300" s="3"/>
      <c r="BQ300" s="3"/>
      <c r="BR300" s="3"/>
      <c r="BS300" s="3"/>
      <c r="BT300" s="3"/>
      <c r="BU300" s="3"/>
      <c r="BV300" s="3"/>
      <c r="BX300" s="3"/>
      <c r="BY300" s="3"/>
      <c r="BZ300" s="3"/>
      <c r="CA300" s="3"/>
      <c r="CB300" s="3"/>
      <c r="CC300" s="3"/>
      <c r="CD300" s="3"/>
      <c r="CE300" s="3"/>
      <c r="CF300" s="3"/>
      <c r="CG300" s="3"/>
      <c r="CH300" s="3"/>
      <c r="CI300" s="3"/>
      <c r="CJ300" s="3"/>
      <c r="CK300" s="3"/>
      <c r="CL300" s="3"/>
      <c r="CM300" s="3"/>
      <c r="CN300" s="3"/>
      <c r="CO300" s="3"/>
      <c r="CP300" s="3"/>
      <c r="CQ300" s="3"/>
      <c r="CR300" s="3"/>
      <c r="CT300" s="3"/>
    </row>
    <row r="301" spans="1:98" x14ac:dyDescent="0.2">
      <c r="A301" s="3"/>
      <c r="B301" s="3"/>
      <c r="C301" s="3"/>
      <c r="D301" s="3"/>
      <c r="E301" s="65"/>
      <c r="F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Y301" s="66"/>
      <c r="Z301" s="66"/>
      <c r="AA301" s="66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G301" s="3"/>
      <c r="BH301" s="3"/>
      <c r="BI301" s="3"/>
      <c r="BJ301" s="3"/>
      <c r="BK301" s="3"/>
      <c r="BL301" s="3"/>
      <c r="BM301" s="3"/>
      <c r="BN301" s="3"/>
      <c r="BO301" s="3"/>
      <c r="BP301" s="3"/>
      <c r="BQ301" s="3"/>
      <c r="BR301" s="3"/>
      <c r="BS301" s="3"/>
      <c r="BT301" s="3"/>
      <c r="BU301" s="3"/>
      <c r="BV301" s="3"/>
      <c r="BX301" s="3"/>
      <c r="BY301" s="3"/>
      <c r="BZ301" s="3"/>
      <c r="CA301" s="3"/>
      <c r="CB301" s="3"/>
      <c r="CC301" s="3"/>
      <c r="CD301" s="3"/>
      <c r="CE301" s="3"/>
      <c r="CF301" s="3"/>
      <c r="CG301" s="3"/>
      <c r="CH301" s="3"/>
      <c r="CI301" s="3"/>
      <c r="CJ301" s="3"/>
      <c r="CK301" s="3"/>
      <c r="CL301" s="3"/>
      <c r="CM301" s="3"/>
      <c r="CN301" s="3"/>
      <c r="CO301" s="3"/>
      <c r="CP301" s="3"/>
      <c r="CQ301" s="3"/>
      <c r="CR301" s="3"/>
      <c r="CT301" s="3"/>
    </row>
    <row r="302" spans="1:98" x14ac:dyDescent="0.2">
      <c r="A302" s="3"/>
      <c r="B302" s="3"/>
      <c r="C302" s="3"/>
      <c r="D302" s="3"/>
      <c r="E302" s="65"/>
      <c r="F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Y302" s="66"/>
      <c r="Z302" s="66"/>
      <c r="AA302" s="66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G302" s="3"/>
      <c r="BH302" s="3"/>
      <c r="BI302" s="3"/>
      <c r="BJ302" s="3"/>
      <c r="BK302" s="3"/>
      <c r="BL302" s="3"/>
      <c r="BM302" s="3"/>
      <c r="BN302" s="3"/>
      <c r="BO302" s="3"/>
      <c r="BP302" s="3"/>
      <c r="BQ302" s="3"/>
      <c r="BR302" s="3"/>
      <c r="BS302" s="3"/>
      <c r="BT302" s="3"/>
      <c r="BU302" s="3"/>
      <c r="BV302" s="3"/>
      <c r="BX302" s="3"/>
      <c r="BY302" s="3"/>
      <c r="BZ302" s="3"/>
      <c r="CA302" s="3"/>
      <c r="CB302" s="3"/>
      <c r="CC302" s="3"/>
      <c r="CD302" s="3"/>
      <c r="CE302" s="3"/>
      <c r="CF302" s="3"/>
      <c r="CG302" s="3"/>
      <c r="CH302" s="3"/>
      <c r="CI302" s="3"/>
      <c r="CJ302" s="3"/>
      <c r="CK302" s="3"/>
      <c r="CL302" s="3"/>
      <c r="CM302" s="3"/>
      <c r="CN302" s="3"/>
      <c r="CO302" s="3"/>
      <c r="CP302" s="3"/>
      <c r="CQ302" s="3"/>
      <c r="CR302" s="3"/>
      <c r="CT302" s="3"/>
    </row>
    <row r="303" spans="1:98" x14ac:dyDescent="0.2">
      <c r="A303" s="3"/>
      <c r="B303" s="3"/>
      <c r="C303" s="3"/>
      <c r="D303" s="3"/>
      <c r="E303" s="65"/>
      <c r="F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Y303" s="66"/>
      <c r="Z303" s="66"/>
      <c r="AA303" s="66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G303" s="3"/>
      <c r="BH303" s="3"/>
      <c r="BI303" s="3"/>
      <c r="BJ303" s="3"/>
      <c r="BK303" s="3"/>
      <c r="BL303" s="3"/>
      <c r="BM303" s="3"/>
      <c r="BN303" s="3"/>
      <c r="BO303" s="3"/>
      <c r="BP303" s="3"/>
      <c r="BQ303" s="3"/>
      <c r="BR303" s="3"/>
      <c r="BS303" s="3"/>
      <c r="BT303" s="3"/>
      <c r="BU303" s="3"/>
      <c r="BV303" s="3"/>
      <c r="BX303" s="3"/>
      <c r="BY303" s="3"/>
      <c r="BZ303" s="3"/>
      <c r="CA303" s="3"/>
      <c r="CB303" s="3"/>
      <c r="CC303" s="3"/>
      <c r="CD303" s="3"/>
      <c r="CE303" s="3"/>
      <c r="CF303" s="3"/>
      <c r="CG303" s="3"/>
      <c r="CH303" s="3"/>
      <c r="CI303" s="3"/>
      <c r="CJ303" s="3"/>
      <c r="CK303" s="3"/>
      <c r="CL303" s="3"/>
      <c r="CM303" s="3"/>
      <c r="CN303" s="3"/>
      <c r="CO303" s="3"/>
      <c r="CP303" s="3"/>
      <c r="CQ303" s="3"/>
      <c r="CR303" s="3"/>
      <c r="CT303" s="3"/>
    </row>
    <row r="304" spans="1:98" x14ac:dyDescent="0.2">
      <c r="A304" s="3"/>
      <c r="B304" s="3"/>
      <c r="C304" s="3"/>
      <c r="D304" s="3"/>
      <c r="E304" s="65"/>
      <c r="F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Y304" s="66"/>
      <c r="Z304" s="66"/>
      <c r="AA304" s="66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G304" s="3"/>
      <c r="BH304" s="3"/>
      <c r="BI304" s="3"/>
      <c r="BJ304" s="3"/>
      <c r="BK304" s="3"/>
      <c r="BL304" s="3"/>
      <c r="BM304" s="3"/>
      <c r="BN304" s="3"/>
      <c r="BO304" s="3"/>
      <c r="BP304" s="3"/>
      <c r="BQ304" s="3"/>
      <c r="BR304" s="3"/>
      <c r="BS304" s="3"/>
      <c r="BT304" s="3"/>
      <c r="BU304" s="3"/>
      <c r="BV304" s="3"/>
      <c r="BX304" s="3"/>
      <c r="BY304" s="3"/>
      <c r="BZ304" s="3"/>
      <c r="CA304" s="3"/>
      <c r="CB304" s="3"/>
      <c r="CC304" s="3"/>
      <c r="CD304" s="3"/>
      <c r="CE304" s="3"/>
      <c r="CF304" s="3"/>
      <c r="CG304" s="3"/>
      <c r="CH304" s="3"/>
      <c r="CI304" s="3"/>
      <c r="CJ304" s="3"/>
      <c r="CK304" s="3"/>
      <c r="CL304" s="3"/>
      <c r="CM304" s="3"/>
      <c r="CN304" s="3"/>
      <c r="CO304" s="3"/>
      <c r="CP304" s="3"/>
      <c r="CQ304" s="3"/>
      <c r="CR304" s="3"/>
      <c r="CT304" s="3"/>
    </row>
    <row r="305" spans="1:98" x14ac:dyDescent="0.2">
      <c r="A305" s="3"/>
      <c r="B305" s="3"/>
      <c r="C305" s="3"/>
      <c r="D305" s="3"/>
      <c r="E305" s="65"/>
      <c r="F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Y305" s="66"/>
      <c r="Z305" s="66"/>
      <c r="AA305" s="66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G305" s="3"/>
      <c r="BH305" s="3"/>
      <c r="BI305" s="3"/>
      <c r="BJ305" s="3"/>
      <c r="BK305" s="3"/>
      <c r="BL305" s="3"/>
      <c r="BM305" s="3"/>
      <c r="BN305" s="3"/>
      <c r="BO305" s="3"/>
      <c r="BP305" s="3"/>
      <c r="BQ305" s="3"/>
      <c r="BR305" s="3"/>
      <c r="BS305" s="3"/>
      <c r="BT305" s="3"/>
      <c r="BU305" s="3"/>
      <c r="BV305" s="3"/>
      <c r="BX305" s="3"/>
      <c r="BY305" s="3"/>
      <c r="BZ305" s="3"/>
      <c r="CA305" s="3"/>
      <c r="CB305" s="3"/>
      <c r="CC305" s="3"/>
      <c r="CD305" s="3"/>
      <c r="CE305" s="3"/>
      <c r="CF305" s="3"/>
      <c r="CG305" s="3"/>
      <c r="CH305" s="3"/>
      <c r="CI305" s="3"/>
      <c r="CJ305" s="3"/>
      <c r="CK305" s="3"/>
      <c r="CL305" s="3"/>
      <c r="CM305" s="3"/>
      <c r="CN305" s="3"/>
      <c r="CO305" s="3"/>
      <c r="CP305" s="3"/>
      <c r="CQ305" s="3"/>
      <c r="CR305" s="3"/>
      <c r="CT305" s="3"/>
    </row>
    <row r="306" spans="1:98" x14ac:dyDescent="0.2">
      <c r="Y306" s="28"/>
      <c r="Z306" s="28"/>
      <c r="AA306" s="28"/>
    </row>
    <row r="307" spans="1:98" x14ac:dyDescent="0.2">
      <c r="Y307" s="28"/>
      <c r="Z307" s="28"/>
      <c r="AA307" s="28"/>
    </row>
    <row r="308" spans="1:98" x14ac:dyDescent="0.2">
      <c r="Y308" s="28"/>
      <c r="Z308" s="28"/>
      <c r="AA308" s="28"/>
    </row>
    <row r="309" spans="1:98" x14ac:dyDescent="0.2">
      <c r="Y309" s="28"/>
      <c r="Z309" s="28"/>
      <c r="AA309" s="28"/>
    </row>
    <row r="310" spans="1:98" x14ac:dyDescent="0.2">
      <c r="Y310" s="28"/>
      <c r="Z310" s="28"/>
      <c r="AA310" s="28"/>
    </row>
    <row r="311" spans="1:98" x14ac:dyDescent="0.2">
      <c r="Y311" s="28"/>
      <c r="Z311" s="28"/>
      <c r="AA311" s="28"/>
    </row>
    <row r="312" spans="1:98" x14ac:dyDescent="0.2">
      <c r="Y312" s="28"/>
      <c r="Z312" s="28"/>
      <c r="AA312" s="28"/>
    </row>
    <row r="313" spans="1:98" x14ac:dyDescent="0.2">
      <c r="Y313" s="28"/>
      <c r="Z313" s="28"/>
      <c r="AA313" s="28"/>
    </row>
    <row r="314" spans="1:98" x14ac:dyDescent="0.2">
      <c r="Y314" s="28"/>
      <c r="Z314" s="28"/>
      <c r="AA314" s="28"/>
    </row>
    <row r="315" spans="1:98" x14ac:dyDescent="0.2">
      <c r="Y315" s="28"/>
      <c r="Z315" s="28"/>
      <c r="AA315" s="28"/>
    </row>
    <row r="316" spans="1:98" x14ac:dyDescent="0.2">
      <c r="Y316" s="28"/>
      <c r="Z316" s="28"/>
      <c r="AA316" s="28"/>
    </row>
    <row r="317" spans="1:98" x14ac:dyDescent="0.2">
      <c r="Y317" s="28"/>
      <c r="Z317" s="28"/>
      <c r="AA317" s="28"/>
    </row>
    <row r="318" spans="1:98" x14ac:dyDescent="0.2">
      <c r="Y318" s="28"/>
      <c r="Z318" s="28"/>
      <c r="AA318" s="28"/>
    </row>
    <row r="319" spans="1:98" x14ac:dyDescent="0.2">
      <c r="Y319" s="28"/>
      <c r="Z319" s="28"/>
      <c r="AA319" s="28"/>
    </row>
    <row r="320" spans="1:98" x14ac:dyDescent="0.2">
      <c r="Y320" s="28"/>
      <c r="Z320" s="28"/>
      <c r="AA320" s="28"/>
    </row>
    <row r="321" spans="25:27" x14ac:dyDescent="0.2">
      <c r="Y321" s="28"/>
      <c r="Z321" s="28"/>
      <c r="AA321" s="28"/>
    </row>
    <row r="322" spans="25:27" x14ac:dyDescent="0.2">
      <c r="Y322" s="28"/>
      <c r="Z322" s="28"/>
      <c r="AA322" s="28"/>
    </row>
    <row r="323" spans="25:27" x14ac:dyDescent="0.2">
      <c r="Y323" s="28"/>
      <c r="Z323" s="28"/>
      <c r="AA323" s="28"/>
    </row>
    <row r="324" spans="25:27" x14ac:dyDescent="0.2">
      <c r="Y324" s="28"/>
      <c r="Z324" s="28"/>
      <c r="AA324" s="28"/>
    </row>
    <row r="325" spans="25:27" x14ac:dyDescent="0.2">
      <c r="Y325" s="28"/>
      <c r="Z325" s="28"/>
      <c r="AA325" s="28"/>
    </row>
    <row r="326" spans="25:27" x14ac:dyDescent="0.2">
      <c r="Y326" s="28"/>
      <c r="Z326" s="28"/>
      <c r="AA326" s="28"/>
    </row>
    <row r="327" spans="25:27" x14ac:dyDescent="0.2">
      <c r="Y327" s="28"/>
      <c r="Z327" s="28"/>
      <c r="AA327" s="28"/>
    </row>
    <row r="328" spans="25:27" x14ac:dyDescent="0.2">
      <c r="Y328" s="28"/>
      <c r="Z328" s="28"/>
      <c r="AA328" s="28"/>
    </row>
    <row r="329" spans="25:27" x14ac:dyDescent="0.2">
      <c r="Y329" s="28"/>
      <c r="Z329" s="28"/>
      <c r="AA329" s="28"/>
    </row>
    <row r="330" spans="25:27" x14ac:dyDescent="0.2">
      <c r="Y330" s="28"/>
      <c r="Z330" s="28"/>
      <c r="AA330" s="28"/>
    </row>
    <row r="331" spans="25:27" x14ac:dyDescent="0.2">
      <c r="Y331" s="28"/>
      <c r="Z331" s="28"/>
      <c r="AA331" s="28"/>
    </row>
    <row r="332" spans="25:27" x14ac:dyDescent="0.2">
      <c r="Y332" s="28"/>
      <c r="Z332" s="28"/>
      <c r="AA332" s="28"/>
    </row>
    <row r="333" spans="25:27" x14ac:dyDescent="0.2">
      <c r="Y333" s="28"/>
      <c r="Z333" s="28"/>
      <c r="AA333" s="28"/>
    </row>
    <row r="334" spans="25:27" x14ac:dyDescent="0.2">
      <c r="Y334" s="28"/>
      <c r="Z334" s="28"/>
      <c r="AA334" s="28"/>
    </row>
    <row r="335" spans="25:27" x14ac:dyDescent="0.2">
      <c r="Y335" s="28"/>
      <c r="Z335" s="28"/>
      <c r="AA335" s="28"/>
    </row>
    <row r="336" spans="25:27" x14ac:dyDescent="0.2">
      <c r="Y336" s="28"/>
      <c r="Z336" s="28"/>
      <c r="AA336" s="28"/>
    </row>
    <row r="337" spans="25:27" x14ac:dyDescent="0.2">
      <c r="Y337" s="28"/>
      <c r="Z337" s="28"/>
      <c r="AA337" s="28"/>
    </row>
    <row r="338" spans="25:27" x14ac:dyDescent="0.2">
      <c r="Y338" s="28"/>
      <c r="Z338" s="28"/>
      <c r="AA338" s="28"/>
    </row>
    <row r="339" spans="25:27" x14ac:dyDescent="0.2">
      <c r="Y339" s="28"/>
      <c r="Z339" s="28"/>
      <c r="AA339" s="28"/>
    </row>
    <row r="340" spans="25:27" x14ac:dyDescent="0.2">
      <c r="Y340" s="28"/>
      <c r="Z340" s="28"/>
      <c r="AA340" s="28"/>
    </row>
    <row r="341" spans="25:27" x14ac:dyDescent="0.2">
      <c r="Y341" s="28"/>
      <c r="Z341" s="28"/>
      <c r="AA341" s="28"/>
    </row>
    <row r="342" spans="25:27" x14ac:dyDescent="0.2">
      <c r="Y342" s="28"/>
      <c r="Z342" s="28"/>
      <c r="AA342" s="28"/>
    </row>
    <row r="343" spans="25:27" x14ac:dyDescent="0.2">
      <c r="Y343" s="28"/>
      <c r="Z343" s="28"/>
      <c r="AA343" s="28"/>
    </row>
    <row r="344" spans="25:27" x14ac:dyDescent="0.2">
      <c r="Y344" s="28"/>
      <c r="Z344" s="28"/>
      <c r="AA344" s="28"/>
    </row>
    <row r="345" spans="25:27" x14ac:dyDescent="0.2">
      <c r="Y345" s="28"/>
      <c r="Z345" s="28"/>
      <c r="AA345" s="28"/>
    </row>
    <row r="346" spans="25:27" x14ac:dyDescent="0.2">
      <c r="Y346" s="28"/>
      <c r="Z346" s="28"/>
      <c r="AA346" s="28"/>
    </row>
    <row r="347" spans="25:27" x14ac:dyDescent="0.2">
      <c r="Y347" s="28"/>
      <c r="Z347" s="28"/>
      <c r="AA347" s="28"/>
    </row>
    <row r="348" spans="25:27" x14ac:dyDescent="0.2">
      <c r="Y348" s="28"/>
      <c r="Z348" s="28"/>
      <c r="AA348" s="28"/>
    </row>
    <row r="349" spans="25:27" x14ac:dyDescent="0.2">
      <c r="Y349" s="28"/>
      <c r="Z349" s="28"/>
      <c r="AA349" s="28"/>
    </row>
    <row r="350" spans="25:27" x14ac:dyDescent="0.2">
      <c r="Y350" s="28"/>
      <c r="Z350" s="28"/>
      <c r="AA350" s="28"/>
    </row>
    <row r="351" spans="25:27" x14ac:dyDescent="0.2">
      <c r="Y351" s="28"/>
      <c r="Z351" s="28"/>
      <c r="AA351" s="28"/>
    </row>
    <row r="352" spans="25:27" x14ac:dyDescent="0.2">
      <c r="Y352" s="28"/>
      <c r="Z352" s="28"/>
      <c r="AA352" s="28"/>
    </row>
    <row r="353" spans="25:27" x14ac:dyDescent="0.2">
      <c r="Y353" s="28"/>
      <c r="Z353" s="28"/>
      <c r="AA353" s="28"/>
    </row>
    <row r="354" spans="25:27" x14ac:dyDescent="0.2">
      <c r="Y354" s="28"/>
      <c r="Z354" s="28"/>
      <c r="AA354" s="28"/>
    </row>
    <row r="355" spans="25:27" x14ac:dyDescent="0.2">
      <c r="Y355" s="28"/>
      <c r="Z355" s="28"/>
      <c r="AA355" s="28"/>
    </row>
    <row r="356" spans="25:27" x14ac:dyDescent="0.2">
      <c r="Y356" s="28"/>
      <c r="Z356" s="28"/>
      <c r="AA356" s="28"/>
    </row>
    <row r="357" spans="25:27" x14ac:dyDescent="0.2">
      <c r="Y357" s="28"/>
      <c r="Z357" s="28"/>
      <c r="AA357" s="28"/>
    </row>
    <row r="358" spans="25:27" x14ac:dyDescent="0.2">
      <c r="Y358" s="28"/>
      <c r="Z358" s="28"/>
      <c r="AA358" s="28"/>
    </row>
    <row r="359" spans="25:27" x14ac:dyDescent="0.2">
      <c r="Y359" s="28"/>
      <c r="Z359" s="28"/>
      <c r="AA359" s="28"/>
    </row>
    <row r="360" spans="25:27" x14ac:dyDescent="0.2">
      <c r="Y360" s="28"/>
      <c r="Z360" s="28"/>
      <c r="AA360" s="28"/>
    </row>
    <row r="361" spans="25:27" x14ac:dyDescent="0.2">
      <c r="Y361" s="28"/>
      <c r="Z361" s="28"/>
      <c r="AA361" s="28"/>
    </row>
    <row r="362" spans="25:27" x14ac:dyDescent="0.2">
      <c r="Y362" s="28"/>
      <c r="Z362" s="28"/>
      <c r="AA362" s="28"/>
    </row>
    <row r="363" spans="25:27" x14ac:dyDescent="0.2">
      <c r="Y363" s="28"/>
      <c r="Z363" s="28"/>
      <c r="AA363" s="28"/>
    </row>
    <row r="364" spans="25:27" x14ac:dyDescent="0.2">
      <c r="Y364" s="28"/>
      <c r="Z364" s="28"/>
      <c r="AA364" s="28"/>
    </row>
    <row r="365" spans="25:27" x14ac:dyDescent="0.2">
      <c r="Y365" s="28"/>
      <c r="Z365" s="28"/>
      <c r="AA365" s="28"/>
    </row>
    <row r="366" spans="25:27" x14ac:dyDescent="0.2">
      <c r="Y366" s="28"/>
      <c r="Z366" s="28"/>
      <c r="AA366" s="28"/>
    </row>
    <row r="367" spans="25:27" x14ac:dyDescent="0.2">
      <c r="Y367" s="28"/>
      <c r="Z367" s="28"/>
      <c r="AA367" s="28"/>
    </row>
    <row r="368" spans="25:27" x14ac:dyDescent="0.2">
      <c r="Y368" s="28"/>
      <c r="Z368" s="28"/>
      <c r="AA368" s="28"/>
    </row>
    <row r="369" spans="25:27" x14ac:dyDescent="0.2">
      <c r="Y369" s="28"/>
      <c r="Z369" s="28"/>
      <c r="AA369" s="28"/>
    </row>
    <row r="370" spans="25:27" x14ac:dyDescent="0.2">
      <c r="Y370" s="28"/>
      <c r="Z370" s="28"/>
      <c r="AA370" s="28"/>
    </row>
    <row r="371" spans="25:27" x14ac:dyDescent="0.2">
      <c r="Y371" s="28"/>
      <c r="Z371" s="28"/>
      <c r="AA371" s="28"/>
    </row>
    <row r="372" spans="25:27" x14ac:dyDescent="0.2">
      <c r="Y372" s="28"/>
      <c r="Z372" s="28"/>
      <c r="AA372" s="28"/>
    </row>
    <row r="373" spans="25:27" x14ac:dyDescent="0.2">
      <c r="Y373" s="28"/>
      <c r="Z373" s="28"/>
      <c r="AA373" s="28"/>
    </row>
    <row r="374" spans="25:27" x14ac:dyDescent="0.2">
      <c r="Y374" s="28"/>
      <c r="Z374" s="28"/>
      <c r="AA374" s="28"/>
    </row>
    <row r="375" spans="25:27" x14ac:dyDescent="0.2">
      <c r="Y375" s="28"/>
      <c r="Z375" s="28"/>
      <c r="AA375" s="28"/>
    </row>
    <row r="376" spans="25:27" x14ac:dyDescent="0.2">
      <c r="Y376" s="28"/>
      <c r="Z376" s="28"/>
      <c r="AA376" s="28"/>
    </row>
    <row r="377" spans="25:27" x14ac:dyDescent="0.2">
      <c r="Y377" s="28"/>
      <c r="Z377" s="28"/>
      <c r="AA377" s="28"/>
    </row>
    <row r="378" spans="25:27" x14ac:dyDescent="0.2">
      <c r="Y378" s="28"/>
      <c r="Z378" s="28"/>
      <c r="AA378" s="28"/>
    </row>
    <row r="379" spans="25:27" x14ac:dyDescent="0.2">
      <c r="Y379" s="28"/>
      <c r="Z379" s="28"/>
      <c r="AA379" s="28"/>
    </row>
    <row r="380" spans="25:27" x14ac:dyDescent="0.2">
      <c r="Y380" s="28"/>
      <c r="Z380" s="28"/>
      <c r="AA380" s="28"/>
    </row>
    <row r="381" spans="25:27" x14ac:dyDescent="0.2">
      <c r="Y381" s="28"/>
      <c r="Z381" s="28"/>
      <c r="AA381" s="28"/>
    </row>
    <row r="382" spans="25:27" x14ac:dyDescent="0.2">
      <c r="Y382" s="28"/>
      <c r="Z382" s="28"/>
      <c r="AA382" s="28"/>
    </row>
    <row r="383" spans="25:27" x14ac:dyDescent="0.2">
      <c r="Y383" s="28"/>
      <c r="Z383" s="28"/>
      <c r="AA383" s="28"/>
    </row>
    <row r="384" spans="25:27" x14ac:dyDescent="0.2">
      <c r="Y384" s="28"/>
      <c r="Z384" s="28"/>
      <c r="AA384" s="28"/>
    </row>
    <row r="385" spans="25:27" x14ac:dyDescent="0.2">
      <c r="Y385" s="28"/>
      <c r="Z385" s="28"/>
      <c r="AA385" s="28"/>
    </row>
    <row r="386" spans="25:27" x14ac:dyDescent="0.2">
      <c r="Y386" s="28"/>
      <c r="Z386" s="28"/>
      <c r="AA386" s="28"/>
    </row>
    <row r="387" spans="25:27" x14ac:dyDescent="0.2">
      <c r="Y387" s="28"/>
      <c r="Z387" s="28"/>
      <c r="AA387" s="28"/>
    </row>
    <row r="388" spans="25:27" x14ac:dyDescent="0.2">
      <c r="Y388" s="28"/>
      <c r="Z388" s="28"/>
      <c r="AA388" s="28"/>
    </row>
    <row r="389" spans="25:27" x14ac:dyDescent="0.2">
      <c r="Y389" s="28"/>
      <c r="Z389" s="28"/>
      <c r="AA389" s="28"/>
    </row>
    <row r="390" spans="25:27" x14ac:dyDescent="0.2">
      <c r="Y390" s="28"/>
      <c r="Z390" s="28"/>
      <c r="AA390" s="28"/>
    </row>
    <row r="391" spans="25:27" x14ac:dyDescent="0.2">
      <c r="Y391" s="28"/>
      <c r="Z391" s="28"/>
      <c r="AA391" s="28"/>
    </row>
    <row r="392" spans="25:27" x14ac:dyDescent="0.2">
      <c r="Y392" s="28"/>
      <c r="Z392" s="28"/>
      <c r="AA392" s="28"/>
    </row>
    <row r="393" spans="25:27" x14ac:dyDescent="0.2">
      <c r="Y393" s="28"/>
      <c r="Z393" s="28"/>
      <c r="AA393" s="28"/>
    </row>
    <row r="394" spans="25:27" x14ac:dyDescent="0.2">
      <c r="Y394" s="28"/>
      <c r="Z394" s="28"/>
      <c r="AA394" s="28"/>
    </row>
    <row r="395" spans="25:27" x14ac:dyDescent="0.2">
      <c r="Y395" s="28"/>
      <c r="Z395" s="28"/>
      <c r="AA395" s="28"/>
    </row>
    <row r="396" spans="25:27" x14ac:dyDescent="0.2">
      <c r="Y396" s="28"/>
      <c r="Z396" s="28"/>
      <c r="AA396" s="28"/>
    </row>
    <row r="397" spans="25:27" x14ac:dyDescent="0.2">
      <c r="Y397" s="28"/>
      <c r="Z397" s="28"/>
      <c r="AA397" s="28"/>
    </row>
    <row r="398" spans="25:27" x14ac:dyDescent="0.2">
      <c r="Y398" s="28"/>
      <c r="Z398" s="28"/>
      <c r="AA398" s="28"/>
    </row>
    <row r="399" spans="25:27" x14ac:dyDescent="0.2">
      <c r="Y399" s="28"/>
      <c r="Z399" s="28"/>
      <c r="AA399" s="28"/>
    </row>
    <row r="400" spans="25:27" x14ac:dyDescent="0.2">
      <c r="Y400" s="28"/>
      <c r="Z400" s="28"/>
      <c r="AA400" s="28"/>
    </row>
    <row r="401" spans="25:27" x14ac:dyDescent="0.2">
      <c r="Y401" s="28"/>
      <c r="Z401" s="28"/>
      <c r="AA401" s="28"/>
    </row>
    <row r="402" spans="25:27" x14ac:dyDescent="0.2">
      <c r="Y402" s="28"/>
      <c r="Z402" s="28"/>
      <c r="AA402" s="28"/>
    </row>
    <row r="403" spans="25:27" x14ac:dyDescent="0.2">
      <c r="Y403" s="28"/>
      <c r="Z403" s="28"/>
      <c r="AA403" s="28"/>
    </row>
    <row r="404" spans="25:27" x14ac:dyDescent="0.2">
      <c r="Y404" s="28"/>
      <c r="Z404" s="28"/>
      <c r="AA404" s="28"/>
    </row>
    <row r="405" spans="25:27" x14ac:dyDescent="0.2">
      <c r="Y405" s="28"/>
      <c r="Z405" s="28"/>
      <c r="AA405" s="28"/>
    </row>
    <row r="406" spans="25:27" x14ac:dyDescent="0.2">
      <c r="Y406" s="28"/>
      <c r="Z406" s="28"/>
      <c r="AA406" s="28"/>
    </row>
    <row r="407" spans="25:27" x14ac:dyDescent="0.2">
      <c r="Y407" s="28"/>
      <c r="Z407" s="28"/>
      <c r="AA407" s="28"/>
    </row>
    <row r="408" spans="25:27" x14ac:dyDescent="0.2">
      <c r="Y408" s="28"/>
      <c r="Z408" s="28"/>
      <c r="AA408" s="28"/>
    </row>
    <row r="409" spans="25:27" x14ac:dyDescent="0.2">
      <c r="Y409" s="28"/>
      <c r="Z409" s="28"/>
      <c r="AA409" s="28"/>
    </row>
    <row r="410" spans="25:27" x14ac:dyDescent="0.2">
      <c r="Y410" s="28"/>
      <c r="Z410" s="28"/>
      <c r="AA410" s="28"/>
    </row>
    <row r="411" spans="25:27" x14ac:dyDescent="0.2">
      <c r="Y411" s="28"/>
      <c r="Z411" s="28"/>
      <c r="AA411" s="28"/>
    </row>
    <row r="412" spans="25:27" x14ac:dyDescent="0.2">
      <c r="Y412" s="28"/>
      <c r="Z412" s="28"/>
      <c r="AA412" s="28"/>
    </row>
    <row r="413" spans="25:27" x14ac:dyDescent="0.2">
      <c r="Y413" s="28"/>
      <c r="Z413" s="28"/>
      <c r="AA413" s="28"/>
    </row>
    <row r="414" spans="25:27" x14ac:dyDescent="0.2">
      <c r="Y414" s="28"/>
      <c r="Z414" s="28"/>
      <c r="AA414" s="28"/>
    </row>
    <row r="415" spans="25:27" x14ac:dyDescent="0.2">
      <c r="Y415" s="28"/>
      <c r="Z415" s="28"/>
      <c r="AA415" s="28"/>
    </row>
    <row r="416" spans="25:27" x14ac:dyDescent="0.2">
      <c r="Y416" s="28"/>
      <c r="Z416" s="28"/>
      <c r="AA416" s="28"/>
    </row>
    <row r="417" spans="25:27" x14ac:dyDescent="0.2">
      <c r="Y417" s="28"/>
      <c r="Z417" s="28"/>
      <c r="AA417" s="28"/>
    </row>
    <row r="418" spans="25:27" x14ac:dyDescent="0.2">
      <c r="Y418" s="28"/>
      <c r="Z418" s="28"/>
      <c r="AA418" s="28"/>
    </row>
    <row r="419" spans="25:27" x14ac:dyDescent="0.2">
      <c r="Y419" s="28"/>
      <c r="Z419" s="28"/>
      <c r="AA419" s="28"/>
    </row>
    <row r="420" spans="25:27" x14ac:dyDescent="0.2">
      <c r="Y420" s="28"/>
      <c r="Z420" s="28"/>
      <c r="AA420" s="28"/>
    </row>
    <row r="421" spans="25:27" x14ac:dyDescent="0.2">
      <c r="Y421" s="28"/>
      <c r="Z421" s="28"/>
      <c r="AA421" s="28"/>
    </row>
    <row r="422" spans="25:27" x14ac:dyDescent="0.2">
      <c r="Y422" s="28"/>
      <c r="Z422" s="28"/>
      <c r="AA422" s="28"/>
    </row>
    <row r="423" spans="25:27" x14ac:dyDescent="0.2">
      <c r="Y423" s="28"/>
      <c r="Z423" s="28"/>
      <c r="AA423" s="28"/>
    </row>
    <row r="424" spans="25:27" x14ac:dyDescent="0.2">
      <c r="Y424" s="28"/>
      <c r="Z424" s="28"/>
      <c r="AA424" s="28"/>
    </row>
    <row r="425" spans="25:27" x14ac:dyDescent="0.2">
      <c r="Y425" s="28"/>
      <c r="Z425" s="28"/>
      <c r="AA425" s="28"/>
    </row>
    <row r="426" spans="25:27" x14ac:dyDescent="0.2">
      <c r="Y426" s="28"/>
      <c r="Z426" s="28"/>
      <c r="AA426" s="28"/>
    </row>
    <row r="427" spans="25:27" x14ac:dyDescent="0.2">
      <c r="Y427" s="28"/>
      <c r="Z427" s="28"/>
      <c r="AA427" s="28"/>
    </row>
    <row r="428" spans="25:27" x14ac:dyDescent="0.2">
      <c r="Y428" s="28"/>
      <c r="Z428" s="28"/>
      <c r="AA428" s="28"/>
    </row>
    <row r="429" spans="25:27" x14ac:dyDescent="0.2">
      <c r="Y429" s="28"/>
      <c r="Z429" s="28"/>
      <c r="AA429" s="28"/>
    </row>
    <row r="430" spans="25:27" x14ac:dyDescent="0.2">
      <c r="Y430" s="28"/>
      <c r="Z430" s="28"/>
      <c r="AA430" s="28"/>
    </row>
    <row r="431" spans="25:27" x14ac:dyDescent="0.2">
      <c r="Y431" s="28"/>
      <c r="Z431" s="28"/>
      <c r="AA431" s="28"/>
    </row>
    <row r="432" spans="25:27" x14ac:dyDescent="0.2">
      <c r="Y432" s="28"/>
      <c r="Z432" s="28"/>
      <c r="AA432" s="28"/>
    </row>
    <row r="433" spans="25:27" x14ac:dyDescent="0.2">
      <c r="Y433" s="28"/>
      <c r="Z433" s="28"/>
      <c r="AA433" s="28"/>
    </row>
    <row r="434" spans="25:27" x14ac:dyDescent="0.2">
      <c r="Y434" s="28"/>
      <c r="Z434" s="28"/>
      <c r="AA434" s="28"/>
    </row>
    <row r="435" spans="25:27" x14ac:dyDescent="0.2">
      <c r="Y435" s="28"/>
      <c r="Z435" s="28"/>
      <c r="AA435" s="28"/>
    </row>
    <row r="436" spans="25:27" x14ac:dyDescent="0.2">
      <c r="Y436" s="28"/>
      <c r="Z436" s="28"/>
      <c r="AA436" s="28"/>
    </row>
    <row r="437" spans="25:27" x14ac:dyDescent="0.2">
      <c r="Y437" s="28"/>
      <c r="Z437" s="28"/>
      <c r="AA437" s="28"/>
    </row>
    <row r="438" spans="25:27" x14ac:dyDescent="0.2">
      <c r="Y438" s="28"/>
      <c r="Z438" s="28"/>
      <c r="AA438" s="28"/>
    </row>
    <row r="439" spans="25:27" x14ac:dyDescent="0.2">
      <c r="Y439" s="28"/>
      <c r="Z439" s="28"/>
      <c r="AA439" s="28"/>
    </row>
    <row r="440" spans="25:27" x14ac:dyDescent="0.2">
      <c r="Y440" s="28"/>
      <c r="Z440" s="28"/>
      <c r="AA440" s="28"/>
    </row>
    <row r="441" spans="25:27" x14ac:dyDescent="0.2">
      <c r="Y441" s="28"/>
      <c r="Z441" s="28"/>
      <c r="AA441" s="28"/>
    </row>
    <row r="442" spans="25:27" x14ac:dyDescent="0.2">
      <c r="Y442" s="28"/>
      <c r="Z442" s="28"/>
      <c r="AA442" s="28"/>
    </row>
    <row r="443" spans="25:27" x14ac:dyDescent="0.2">
      <c r="Y443" s="28"/>
      <c r="Z443" s="28"/>
      <c r="AA443" s="28"/>
    </row>
    <row r="444" spans="25:27" x14ac:dyDescent="0.2">
      <c r="Y444" s="28"/>
      <c r="Z444" s="28"/>
      <c r="AA444" s="28"/>
    </row>
    <row r="445" spans="25:27" x14ac:dyDescent="0.2">
      <c r="Y445" s="28"/>
      <c r="Z445" s="28"/>
      <c r="AA445" s="28"/>
    </row>
    <row r="446" spans="25:27" x14ac:dyDescent="0.2">
      <c r="Y446" s="28"/>
      <c r="Z446" s="28"/>
      <c r="AA446" s="28"/>
    </row>
    <row r="447" spans="25:27" x14ac:dyDescent="0.2">
      <c r="Y447" s="28"/>
      <c r="Z447" s="28"/>
      <c r="AA447" s="28"/>
    </row>
    <row r="448" spans="25:27" x14ac:dyDescent="0.2">
      <c r="Y448" s="28"/>
      <c r="Z448" s="28"/>
      <c r="AA448" s="28"/>
    </row>
    <row r="449" spans="25:27" x14ac:dyDescent="0.2">
      <c r="Y449" s="28"/>
      <c r="Z449" s="28"/>
      <c r="AA449" s="28"/>
    </row>
    <row r="450" spans="25:27" x14ac:dyDescent="0.2">
      <c r="Y450" s="28"/>
      <c r="Z450" s="28"/>
      <c r="AA450" s="28"/>
    </row>
    <row r="451" spans="25:27" x14ac:dyDescent="0.2">
      <c r="Y451" s="28"/>
      <c r="Z451" s="28"/>
      <c r="AA451" s="28"/>
    </row>
    <row r="452" spans="25:27" x14ac:dyDescent="0.2">
      <c r="Y452" s="28"/>
      <c r="Z452" s="28"/>
      <c r="AA452" s="28"/>
    </row>
    <row r="453" spans="25:27" x14ac:dyDescent="0.2">
      <c r="Y453" s="28"/>
      <c r="Z453" s="28"/>
      <c r="AA453" s="28"/>
    </row>
    <row r="454" spans="25:27" x14ac:dyDescent="0.2">
      <c r="Y454" s="28"/>
      <c r="Z454" s="28"/>
      <c r="AA454" s="28"/>
    </row>
    <row r="455" spans="25:27" x14ac:dyDescent="0.2">
      <c r="Y455" s="28"/>
      <c r="Z455" s="28"/>
      <c r="AA455" s="28"/>
    </row>
    <row r="456" spans="25:27" x14ac:dyDescent="0.2">
      <c r="Y456" s="28"/>
      <c r="Z456" s="28"/>
      <c r="AA456" s="28"/>
    </row>
    <row r="457" spans="25:27" x14ac:dyDescent="0.2">
      <c r="Y457" s="28"/>
      <c r="Z457" s="28"/>
      <c r="AA457" s="28"/>
    </row>
    <row r="458" spans="25:27" x14ac:dyDescent="0.2">
      <c r="Y458" s="28"/>
      <c r="Z458" s="28"/>
      <c r="AA458" s="28"/>
    </row>
    <row r="459" spans="25:27" x14ac:dyDescent="0.2">
      <c r="Y459" s="28"/>
      <c r="Z459" s="28"/>
      <c r="AA459" s="28"/>
    </row>
    <row r="460" spans="25:27" x14ac:dyDescent="0.2">
      <c r="Y460" s="28"/>
      <c r="Z460" s="28"/>
      <c r="AA460" s="28"/>
    </row>
    <row r="461" spans="25:27" x14ac:dyDescent="0.2">
      <c r="Y461" s="28"/>
      <c r="Z461" s="28"/>
      <c r="AA461" s="28"/>
    </row>
    <row r="462" spans="25:27" x14ac:dyDescent="0.2">
      <c r="Y462" s="28"/>
      <c r="Z462" s="28"/>
      <c r="AA462" s="28"/>
    </row>
    <row r="463" spans="25:27" x14ac:dyDescent="0.2">
      <c r="Y463" s="28"/>
      <c r="Z463" s="28"/>
      <c r="AA463" s="28"/>
    </row>
    <row r="464" spans="25:27" x14ac:dyDescent="0.2">
      <c r="Y464" s="28"/>
      <c r="Z464" s="28"/>
      <c r="AA464" s="28"/>
    </row>
    <row r="465" spans="25:27" x14ac:dyDescent="0.2">
      <c r="Y465" s="28"/>
      <c r="Z465" s="28"/>
      <c r="AA465" s="28"/>
    </row>
    <row r="466" spans="25:27" x14ac:dyDescent="0.2">
      <c r="Y466" s="28"/>
      <c r="Z466" s="28"/>
      <c r="AA466" s="28"/>
    </row>
    <row r="467" spans="25:27" x14ac:dyDescent="0.2">
      <c r="Y467" s="28"/>
      <c r="Z467" s="28"/>
      <c r="AA467" s="28"/>
    </row>
    <row r="468" spans="25:27" x14ac:dyDescent="0.2">
      <c r="Y468" s="28"/>
      <c r="Z468" s="28"/>
      <c r="AA468" s="28"/>
    </row>
    <row r="469" spans="25:27" x14ac:dyDescent="0.2">
      <c r="Y469" s="28"/>
      <c r="Z469" s="28"/>
      <c r="AA469" s="28"/>
    </row>
    <row r="470" spans="25:27" x14ac:dyDescent="0.2">
      <c r="Y470" s="28"/>
      <c r="Z470" s="28"/>
      <c r="AA470" s="28"/>
    </row>
    <row r="471" spans="25:27" x14ac:dyDescent="0.2">
      <c r="Y471" s="28"/>
      <c r="Z471" s="28"/>
      <c r="AA471" s="28"/>
    </row>
    <row r="472" spans="25:27" x14ac:dyDescent="0.2">
      <c r="Y472" s="28"/>
      <c r="Z472" s="28"/>
      <c r="AA472" s="28"/>
    </row>
    <row r="473" spans="25:27" x14ac:dyDescent="0.2">
      <c r="Y473" s="28"/>
      <c r="Z473" s="28"/>
      <c r="AA473" s="28"/>
    </row>
    <row r="474" spans="25:27" x14ac:dyDescent="0.2">
      <c r="Y474" s="28"/>
      <c r="Z474" s="28"/>
      <c r="AA474" s="28"/>
    </row>
    <row r="475" spans="25:27" x14ac:dyDescent="0.2">
      <c r="Y475" s="28"/>
      <c r="Z475" s="28"/>
      <c r="AA475" s="28"/>
    </row>
    <row r="476" spans="25:27" x14ac:dyDescent="0.2">
      <c r="Y476" s="28"/>
      <c r="Z476" s="28"/>
      <c r="AA476" s="28"/>
    </row>
    <row r="477" spans="25:27" x14ac:dyDescent="0.2">
      <c r="Y477" s="28"/>
      <c r="Z477" s="28"/>
      <c r="AA477" s="28"/>
    </row>
    <row r="478" spans="25:27" x14ac:dyDescent="0.2">
      <c r="Y478" s="28"/>
      <c r="Z478" s="28"/>
      <c r="AA478" s="28"/>
    </row>
    <row r="479" spans="25:27" x14ac:dyDescent="0.2">
      <c r="Y479" s="28"/>
      <c r="Z479" s="28"/>
      <c r="AA479" s="28"/>
    </row>
    <row r="480" spans="25:27" x14ac:dyDescent="0.2">
      <c r="Y480" s="28"/>
      <c r="Z480" s="28"/>
      <c r="AA480" s="28"/>
    </row>
    <row r="481" spans="25:27" x14ac:dyDescent="0.2">
      <c r="Y481" s="28"/>
      <c r="Z481" s="28"/>
      <c r="AA481" s="28"/>
    </row>
    <row r="482" spans="25:27" x14ac:dyDescent="0.2">
      <c r="Y482" s="28"/>
      <c r="Z482" s="28"/>
      <c r="AA482" s="28"/>
    </row>
    <row r="483" spans="25:27" x14ac:dyDescent="0.2">
      <c r="Y483" s="28"/>
      <c r="Z483" s="28"/>
      <c r="AA483" s="28"/>
    </row>
    <row r="484" spans="25:27" x14ac:dyDescent="0.2">
      <c r="Y484" s="28"/>
      <c r="Z484" s="28"/>
      <c r="AA484" s="28"/>
    </row>
    <row r="485" spans="25:27" x14ac:dyDescent="0.2">
      <c r="Y485" s="28"/>
      <c r="Z485" s="28"/>
      <c r="AA485" s="28"/>
    </row>
    <row r="486" spans="25:27" x14ac:dyDescent="0.2">
      <c r="Y486" s="28"/>
      <c r="Z486" s="28"/>
      <c r="AA486" s="28"/>
    </row>
    <row r="487" spans="25:27" x14ac:dyDescent="0.2">
      <c r="Y487" s="28"/>
      <c r="Z487" s="28"/>
      <c r="AA487" s="28"/>
    </row>
    <row r="488" spans="25:27" x14ac:dyDescent="0.2">
      <c r="Y488" s="28"/>
      <c r="Z488" s="28"/>
      <c r="AA488" s="28"/>
    </row>
    <row r="489" spans="25:27" x14ac:dyDescent="0.2">
      <c r="Y489" s="28"/>
      <c r="Z489" s="28"/>
      <c r="AA489" s="28"/>
    </row>
    <row r="490" spans="25:27" x14ac:dyDescent="0.2">
      <c r="Y490" s="28"/>
      <c r="Z490" s="28"/>
      <c r="AA490" s="28"/>
    </row>
    <row r="491" spans="25:27" x14ac:dyDescent="0.2">
      <c r="Y491" s="28"/>
      <c r="Z491" s="28"/>
      <c r="AA491" s="28"/>
    </row>
    <row r="492" spans="25:27" x14ac:dyDescent="0.2">
      <c r="Y492" s="28"/>
      <c r="Z492" s="28"/>
      <c r="AA492" s="28"/>
    </row>
    <row r="493" spans="25:27" x14ac:dyDescent="0.2">
      <c r="Y493" s="28"/>
      <c r="Z493" s="28"/>
      <c r="AA493" s="28"/>
    </row>
    <row r="494" spans="25:27" x14ac:dyDescent="0.2">
      <c r="Y494" s="28"/>
      <c r="Z494" s="28"/>
      <c r="AA494" s="28"/>
    </row>
    <row r="495" spans="25:27" x14ac:dyDescent="0.2">
      <c r="Y495" s="28"/>
      <c r="Z495" s="28"/>
      <c r="AA495" s="28"/>
    </row>
    <row r="496" spans="25:27" x14ac:dyDescent="0.2">
      <c r="Y496" s="28"/>
      <c r="Z496" s="28"/>
      <c r="AA496" s="28"/>
    </row>
    <row r="497" spans="25:27" x14ac:dyDescent="0.2">
      <c r="Y497" s="28"/>
      <c r="Z497" s="28"/>
      <c r="AA497" s="28"/>
    </row>
    <row r="498" spans="25:27" x14ac:dyDescent="0.2">
      <c r="Y498" s="28"/>
      <c r="Z498" s="28"/>
      <c r="AA498" s="28"/>
    </row>
    <row r="499" spans="25:27" x14ac:dyDescent="0.2">
      <c r="Y499" s="28"/>
      <c r="Z499" s="28"/>
      <c r="AA499" s="28"/>
    </row>
    <row r="500" spans="25:27" x14ac:dyDescent="0.2">
      <c r="Y500" s="28"/>
      <c r="Z500" s="28"/>
      <c r="AA500" s="28"/>
    </row>
    <row r="501" spans="25:27" x14ac:dyDescent="0.2">
      <c r="Y501" s="28"/>
      <c r="Z501" s="28"/>
      <c r="AA501" s="28"/>
    </row>
    <row r="502" spans="25:27" x14ac:dyDescent="0.2">
      <c r="Y502" s="28"/>
      <c r="Z502" s="28"/>
      <c r="AA502" s="28"/>
    </row>
    <row r="503" spans="25:27" x14ac:dyDescent="0.2">
      <c r="Y503" s="28"/>
      <c r="Z503" s="28"/>
      <c r="AA503" s="28"/>
    </row>
    <row r="504" spans="25:27" x14ac:dyDescent="0.2">
      <c r="Y504" s="28"/>
      <c r="Z504" s="28"/>
      <c r="AA504" s="28"/>
    </row>
    <row r="505" spans="25:27" x14ac:dyDescent="0.2">
      <c r="Y505" s="28"/>
      <c r="Z505" s="28"/>
      <c r="AA505" s="28"/>
    </row>
    <row r="506" spans="25:27" x14ac:dyDescent="0.2">
      <c r="Y506" s="28"/>
      <c r="Z506" s="28"/>
      <c r="AA506" s="28"/>
    </row>
    <row r="507" spans="25:27" x14ac:dyDescent="0.2">
      <c r="Y507" s="28"/>
      <c r="Z507" s="28"/>
      <c r="AA507" s="28"/>
    </row>
    <row r="508" spans="25:27" x14ac:dyDescent="0.2">
      <c r="Y508" s="28"/>
      <c r="Z508" s="28"/>
      <c r="AA508" s="28"/>
    </row>
    <row r="509" spans="25:27" x14ac:dyDescent="0.2">
      <c r="Y509" s="28"/>
      <c r="Z509" s="28"/>
      <c r="AA509" s="28"/>
    </row>
    <row r="510" spans="25:27" x14ac:dyDescent="0.2">
      <c r="Y510" s="28"/>
      <c r="Z510" s="28"/>
      <c r="AA510" s="28"/>
    </row>
    <row r="511" spans="25:27" x14ac:dyDescent="0.2">
      <c r="Y511" s="28"/>
      <c r="Z511" s="28"/>
      <c r="AA511" s="28"/>
    </row>
    <row r="512" spans="25:27" x14ac:dyDescent="0.2">
      <c r="Y512" s="28"/>
      <c r="Z512" s="28"/>
      <c r="AA512" s="28"/>
    </row>
    <row r="513" spans="25:27" x14ac:dyDescent="0.2">
      <c r="Y513" s="28"/>
      <c r="Z513" s="28"/>
      <c r="AA513" s="28"/>
    </row>
    <row r="514" spans="25:27" x14ac:dyDescent="0.2">
      <c r="Y514" s="28"/>
      <c r="Z514" s="28"/>
      <c r="AA514" s="28"/>
    </row>
    <row r="515" spans="25:27" x14ac:dyDescent="0.2">
      <c r="Y515" s="28"/>
      <c r="Z515" s="28"/>
      <c r="AA515" s="28"/>
    </row>
    <row r="516" spans="25:27" x14ac:dyDescent="0.2">
      <c r="Y516" s="28"/>
      <c r="Z516" s="28"/>
      <c r="AA516" s="28"/>
    </row>
    <row r="517" spans="25:27" x14ac:dyDescent="0.2">
      <c r="Y517" s="28"/>
      <c r="Z517" s="28"/>
      <c r="AA517" s="28"/>
    </row>
    <row r="518" spans="25:27" x14ac:dyDescent="0.2">
      <c r="Y518" s="28"/>
      <c r="Z518" s="28"/>
      <c r="AA518" s="28"/>
    </row>
    <row r="519" spans="25:27" x14ac:dyDescent="0.2">
      <c r="Y519" s="28"/>
      <c r="Z519" s="28"/>
      <c r="AA519" s="28"/>
    </row>
    <row r="520" spans="25:27" x14ac:dyDescent="0.2">
      <c r="Y520" s="28"/>
      <c r="Z520" s="28"/>
      <c r="AA520" s="28"/>
    </row>
    <row r="521" spans="25:27" x14ac:dyDescent="0.2">
      <c r="Y521" s="28"/>
      <c r="Z521" s="28"/>
      <c r="AA521" s="28"/>
    </row>
    <row r="522" spans="25:27" x14ac:dyDescent="0.2">
      <c r="Y522" s="28"/>
      <c r="Z522" s="28"/>
      <c r="AA522" s="28"/>
    </row>
    <row r="523" spans="25:27" x14ac:dyDescent="0.2">
      <c r="Y523" s="28"/>
      <c r="Z523" s="28"/>
      <c r="AA523" s="28"/>
    </row>
    <row r="524" spans="25:27" x14ac:dyDescent="0.2">
      <c r="Y524" s="28"/>
      <c r="Z524" s="28"/>
      <c r="AA524" s="28"/>
    </row>
    <row r="525" spans="25:27" x14ac:dyDescent="0.2">
      <c r="Y525" s="28"/>
      <c r="Z525" s="28"/>
      <c r="AA525" s="28"/>
    </row>
    <row r="526" spans="25:27" x14ac:dyDescent="0.2">
      <c r="Y526" s="28"/>
      <c r="Z526" s="28"/>
      <c r="AA526" s="28"/>
    </row>
    <row r="527" spans="25:27" x14ac:dyDescent="0.2">
      <c r="Y527" s="28"/>
      <c r="Z527" s="28"/>
      <c r="AA527" s="28"/>
    </row>
    <row r="528" spans="25:27" x14ac:dyDescent="0.2">
      <c r="Y528" s="28"/>
      <c r="Z528" s="28"/>
      <c r="AA528" s="28"/>
    </row>
    <row r="529" spans="25:27" x14ac:dyDescent="0.2">
      <c r="Y529" s="28"/>
      <c r="Z529" s="28"/>
      <c r="AA529" s="28"/>
    </row>
    <row r="530" spans="25:27" x14ac:dyDescent="0.2">
      <c r="Y530" s="28"/>
      <c r="Z530" s="28"/>
      <c r="AA530" s="28"/>
    </row>
    <row r="531" spans="25:27" x14ac:dyDescent="0.2">
      <c r="Y531" s="28"/>
      <c r="Z531" s="28"/>
      <c r="AA531" s="28"/>
    </row>
    <row r="532" spans="25:27" x14ac:dyDescent="0.2">
      <c r="Y532" s="28"/>
      <c r="Z532" s="28"/>
      <c r="AA532" s="28"/>
    </row>
    <row r="533" spans="25:27" x14ac:dyDescent="0.2">
      <c r="Y533" s="28"/>
      <c r="Z533" s="28"/>
      <c r="AA533" s="28"/>
    </row>
    <row r="534" spans="25:27" x14ac:dyDescent="0.2">
      <c r="Y534" s="28"/>
      <c r="Z534" s="28"/>
      <c r="AA534" s="28"/>
    </row>
    <row r="535" spans="25:27" x14ac:dyDescent="0.2">
      <c r="Y535" s="28"/>
      <c r="Z535" s="28"/>
      <c r="AA535" s="28"/>
    </row>
    <row r="536" spans="25:27" x14ac:dyDescent="0.2">
      <c r="Y536" s="28"/>
      <c r="Z536" s="28"/>
      <c r="AA536" s="28"/>
    </row>
    <row r="537" spans="25:27" x14ac:dyDescent="0.2">
      <c r="Y537" s="28"/>
      <c r="Z537" s="28"/>
      <c r="AA537" s="28"/>
    </row>
    <row r="538" spans="25:27" x14ac:dyDescent="0.2">
      <c r="Y538" s="28"/>
      <c r="Z538" s="28"/>
      <c r="AA538" s="28"/>
    </row>
    <row r="539" spans="25:27" x14ac:dyDescent="0.2">
      <c r="Y539" s="28"/>
      <c r="Z539" s="28"/>
      <c r="AA539" s="28"/>
    </row>
    <row r="540" spans="25:27" x14ac:dyDescent="0.2">
      <c r="Y540" s="28"/>
      <c r="Z540" s="28"/>
      <c r="AA540" s="28"/>
    </row>
    <row r="541" spans="25:27" x14ac:dyDescent="0.2">
      <c r="Y541" s="28"/>
      <c r="Z541" s="28"/>
      <c r="AA541" s="28"/>
    </row>
    <row r="542" spans="25:27" x14ac:dyDescent="0.2">
      <c r="Y542" s="28"/>
      <c r="Z542" s="28"/>
      <c r="AA542" s="28"/>
    </row>
    <row r="543" spans="25:27" x14ac:dyDescent="0.2">
      <c r="Y543" s="28"/>
      <c r="Z543" s="28"/>
      <c r="AA543" s="28"/>
    </row>
    <row r="544" spans="25:27" x14ac:dyDescent="0.2">
      <c r="Y544" s="28"/>
      <c r="Z544" s="28"/>
      <c r="AA544" s="28"/>
    </row>
    <row r="545" spans="25:27" x14ac:dyDescent="0.2">
      <c r="Y545" s="28"/>
      <c r="Z545" s="28"/>
      <c r="AA545" s="28"/>
    </row>
    <row r="546" spans="25:27" x14ac:dyDescent="0.2">
      <c r="Y546" s="28"/>
      <c r="Z546" s="28"/>
      <c r="AA546" s="28"/>
    </row>
    <row r="547" spans="25:27" x14ac:dyDescent="0.2">
      <c r="Y547" s="28"/>
      <c r="Z547" s="28"/>
      <c r="AA547" s="28"/>
    </row>
    <row r="548" spans="25:27" x14ac:dyDescent="0.2">
      <c r="Y548" s="28"/>
      <c r="Z548" s="28"/>
      <c r="AA548" s="28"/>
    </row>
    <row r="549" spans="25:27" x14ac:dyDescent="0.2">
      <c r="Y549" s="28"/>
      <c r="Z549" s="28"/>
      <c r="AA549" s="28"/>
    </row>
    <row r="550" spans="25:27" x14ac:dyDescent="0.2">
      <c r="Y550" s="28"/>
      <c r="Z550" s="28"/>
      <c r="AA550" s="28"/>
    </row>
    <row r="551" spans="25:27" x14ac:dyDescent="0.2">
      <c r="Y551" s="28"/>
      <c r="Z551" s="28"/>
      <c r="AA551" s="28"/>
    </row>
    <row r="552" spans="25:27" x14ac:dyDescent="0.2">
      <c r="Y552" s="28"/>
      <c r="Z552" s="28"/>
      <c r="AA552" s="28"/>
    </row>
    <row r="553" spans="25:27" x14ac:dyDescent="0.2">
      <c r="Y553" s="28"/>
      <c r="Z553" s="28"/>
      <c r="AA553" s="28"/>
    </row>
    <row r="554" spans="25:27" x14ac:dyDescent="0.2">
      <c r="Y554" s="28"/>
      <c r="Z554" s="28"/>
      <c r="AA554" s="28"/>
    </row>
    <row r="555" spans="25:27" x14ac:dyDescent="0.2">
      <c r="Y555" s="28"/>
      <c r="Z555" s="28"/>
      <c r="AA555" s="28"/>
    </row>
    <row r="556" spans="25:27" x14ac:dyDescent="0.2">
      <c r="Y556" s="28"/>
      <c r="Z556" s="28"/>
      <c r="AA556" s="28"/>
    </row>
    <row r="557" spans="25:27" x14ac:dyDescent="0.2">
      <c r="Y557" s="28"/>
      <c r="Z557" s="28"/>
      <c r="AA557" s="28"/>
    </row>
    <row r="558" spans="25:27" x14ac:dyDescent="0.2">
      <c r="Y558" s="28"/>
      <c r="Z558" s="28"/>
      <c r="AA558" s="28"/>
    </row>
    <row r="559" spans="25:27" x14ac:dyDescent="0.2">
      <c r="Y559" s="28"/>
      <c r="Z559" s="28"/>
      <c r="AA559" s="28"/>
    </row>
    <row r="560" spans="25:27" x14ac:dyDescent="0.2">
      <c r="Y560" s="28"/>
      <c r="Z560" s="28"/>
      <c r="AA560" s="28"/>
    </row>
    <row r="561" spans="25:27" x14ac:dyDescent="0.2">
      <c r="Y561" s="28"/>
      <c r="Z561" s="28"/>
      <c r="AA561" s="28"/>
    </row>
    <row r="562" spans="25:27" x14ac:dyDescent="0.2">
      <c r="Y562" s="28"/>
      <c r="Z562" s="28"/>
      <c r="AA562" s="28"/>
    </row>
    <row r="563" spans="25:27" x14ac:dyDescent="0.2">
      <c r="Y563" s="28"/>
      <c r="Z563" s="28"/>
      <c r="AA563" s="28"/>
    </row>
    <row r="564" spans="25:27" x14ac:dyDescent="0.2">
      <c r="Y564" s="28"/>
      <c r="Z564" s="28"/>
      <c r="AA564" s="28"/>
    </row>
    <row r="565" spans="25:27" x14ac:dyDescent="0.2">
      <c r="Y565" s="28"/>
      <c r="Z565" s="28"/>
      <c r="AA565" s="28"/>
    </row>
    <row r="566" spans="25:27" x14ac:dyDescent="0.2">
      <c r="Y566" s="28"/>
      <c r="Z566" s="28"/>
      <c r="AA566" s="28"/>
    </row>
    <row r="567" spans="25:27" x14ac:dyDescent="0.2">
      <c r="Y567" s="28"/>
      <c r="Z567" s="28"/>
      <c r="AA567" s="28"/>
    </row>
    <row r="568" spans="25:27" x14ac:dyDescent="0.2">
      <c r="Y568" s="28"/>
      <c r="Z568" s="28"/>
      <c r="AA568" s="28"/>
    </row>
    <row r="569" spans="25:27" x14ac:dyDescent="0.2">
      <c r="Y569" s="28"/>
      <c r="Z569" s="28"/>
      <c r="AA569" s="28"/>
    </row>
    <row r="570" spans="25:27" x14ac:dyDescent="0.2">
      <c r="Y570" s="28"/>
      <c r="Z570" s="28"/>
      <c r="AA570" s="28"/>
    </row>
    <row r="571" spans="25:27" x14ac:dyDescent="0.2">
      <c r="Y571" s="28"/>
      <c r="Z571" s="28"/>
      <c r="AA571" s="28"/>
    </row>
    <row r="572" spans="25:27" x14ac:dyDescent="0.2">
      <c r="Y572" s="28"/>
      <c r="Z572" s="28"/>
      <c r="AA572" s="28"/>
    </row>
    <row r="573" spans="25:27" x14ac:dyDescent="0.2">
      <c r="Y573" s="28"/>
      <c r="Z573" s="28"/>
      <c r="AA573" s="28"/>
    </row>
    <row r="574" spans="25:27" x14ac:dyDescent="0.2">
      <c r="Y574" s="28"/>
      <c r="Z574" s="28"/>
      <c r="AA574" s="28"/>
    </row>
    <row r="575" spans="25:27" x14ac:dyDescent="0.2">
      <c r="Y575" s="28"/>
      <c r="Z575" s="28"/>
      <c r="AA575" s="28"/>
    </row>
    <row r="576" spans="25:27" x14ac:dyDescent="0.2">
      <c r="Y576" s="28"/>
      <c r="Z576" s="28"/>
      <c r="AA576" s="28"/>
    </row>
    <row r="577" spans="25:27" x14ac:dyDescent="0.2">
      <c r="Y577" s="28"/>
      <c r="Z577" s="28"/>
      <c r="AA577" s="28"/>
    </row>
    <row r="578" spans="25:27" x14ac:dyDescent="0.2">
      <c r="Y578" s="28"/>
      <c r="Z578" s="28"/>
      <c r="AA578" s="28"/>
    </row>
    <row r="579" spans="25:27" x14ac:dyDescent="0.2">
      <c r="Y579" s="28"/>
      <c r="Z579" s="28"/>
      <c r="AA579" s="28"/>
    </row>
    <row r="580" spans="25:27" x14ac:dyDescent="0.2">
      <c r="Y580" s="28"/>
      <c r="Z580" s="28"/>
      <c r="AA580" s="28"/>
    </row>
    <row r="581" spans="25:27" x14ac:dyDescent="0.2">
      <c r="Y581" s="28"/>
      <c r="Z581" s="28"/>
      <c r="AA581" s="28"/>
    </row>
    <row r="582" spans="25:27" x14ac:dyDescent="0.2">
      <c r="Y582" s="28"/>
      <c r="Z582" s="28"/>
      <c r="AA582" s="28"/>
    </row>
    <row r="583" spans="25:27" x14ac:dyDescent="0.2">
      <c r="Y583" s="28"/>
      <c r="Z583" s="28"/>
      <c r="AA583" s="28"/>
    </row>
    <row r="584" spans="25:27" x14ac:dyDescent="0.2">
      <c r="Y584" s="28"/>
      <c r="Z584" s="28"/>
      <c r="AA584" s="28"/>
    </row>
    <row r="585" spans="25:27" x14ac:dyDescent="0.2">
      <c r="Y585" s="28"/>
      <c r="Z585" s="28"/>
      <c r="AA585" s="28"/>
    </row>
    <row r="586" spans="25:27" x14ac:dyDescent="0.2">
      <c r="Y586" s="28"/>
      <c r="Z586" s="28"/>
      <c r="AA586" s="28"/>
    </row>
    <row r="587" spans="25:27" x14ac:dyDescent="0.2">
      <c r="Y587" s="28"/>
      <c r="Z587" s="28"/>
      <c r="AA587" s="28"/>
    </row>
    <row r="588" spans="25:27" x14ac:dyDescent="0.2">
      <c r="Y588" s="28"/>
      <c r="Z588" s="28"/>
      <c r="AA588" s="28"/>
    </row>
    <row r="589" spans="25:27" x14ac:dyDescent="0.2">
      <c r="Y589" s="28"/>
      <c r="Z589" s="28"/>
      <c r="AA589" s="28"/>
    </row>
    <row r="590" spans="25:27" x14ac:dyDescent="0.2">
      <c r="Y590" s="28"/>
      <c r="Z590" s="28"/>
      <c r="AA590" s="28"/>
    </row>
    <row r="591" spans="25:27" x14ac:dyDescent="0.2">
      <c r="Y591" s="28"/>
      <c r="Z591" s="28"/>
      <c r="AA591" s="28"/>
    </row>
    <row r="592" spans="25:27" x14ac:dyDescent="0.2">
      <c r="Y592" s="28"/>
      <c r="Z592" s="28"/>
      <c r="AA592" s="28"/>
    </row>
    <row r="593" spans="25:27" x14ac:dyDescent="0.2">
      <c r="Y593" s="28"/>
      <c r="Z593" s="28"/>
      <c r="AA593" s="28"/>
    </row>
    <row r="594" spans="25:27" x14ac:dyDescent="0.2">
      <c r="Y594" s="28"/>
      <c r="Z594" s="28"/>
      <c r="AA594" s="28"/>
    </row>
    <row r="595" spans="25:27" x14ac:dyDescent="0.2">
      <c r="Y595" s="28"/>
      <c r="Z595" s="28"/>
      <c r="AA595" s="28"/>
    </row>
    <row r="596" spans="25:27" x14ac:dyDescent="0.2">
      <c r="Y596" s="28"/>
      <c r="Z596" s="28"/>
      <c r="AA596" s="28"/>
    </row>
    <row r="597" spans="25:27" x14ac:dyDescent="0.2">
      <c r="Y597" s="28"/>
      <c r="Z597" s="28"/>
      <c r="AA597" s="28"/>
    </row>
    <row r="598" spans="25:27" x14ac:dyDescent="0.2">
      <c r="Y598" s="28"/>
      <c r="Z598" s="28"/>
      <c r="AA598" s="28"/>
    </row>
    <row r="599" spans="25:27" x14ac:dyDescent="0.2">
      <c r="Y599" s="28"/>
      <c r="Z599" s="28"/>
      <c r="AA599" s="28"/>
    </row>
    <row r="600" spans="25:27" x14ac:dyDescent="0.2">
      <c r="Y600" s="28"/>
      <c r="Z600" s="28"/>
      <c r="AA600" s="28"/>
    </row>
    <row r="601" spans="25:27" x14ac:dyDescent="0.2">
      <c r="Y601" s="28"/>
      <c r="Z601" s="28"/>
      <c r="AA601" s="28"/>
    </row>
    <row r="602" spans="25:27" x14ac:dyDescent="0.2">
      <c r="Y602" s="28"/>
      <c r="Z602" s="28"/>
      <c r="AA602" s="28"/>
    </row>
    <row r="603" spans="25:27" x14ac:dyDescent="0.2">
      <c r="Y603" s="28"/>
      <c r="Z603" s="28"/>
      <c r="AA603" s="28"/>
    </row>
    <row r="604" spans="25:27" x14ac:dyDescent="0.2">
      <c r="Y604" s="28"/>
      <c r="Z604" s="28"/>
      <c r="AA604" s="28"/>
    </row>
    <row r="605" spans="25:27" x14ac:dyDescent="0.2">
      <c r="Y605" s="28"/>
      <c r="Z605" s="28"/>
      <c r="AA605" s="28"/>
    </row>
    <row r="606" spans="25:27" x14ac:dyDescent="0.2">
      <c r="Y606" s="28"/>
      <c r="Z606" s="28"/>
      <c r="AA606" s="28"/>
    </row>
    <row r="607" spans="25:27" x14ac:dyDescent="0.2">
      <c r="Y607" s="28"/>
      <c r="Z607" s="28"/>
      <c r="AA607" s="28"/>
    </row>
    <row r="608" spans="25:27" x14ac:dyDescent="0.2">
      <c r="Y608" s="28"/>
      <c r="Z608" s="28"/>
      <c r="AA608" s="28"/>
    </row>
    <row r="609" spans="25:27" x14ac:dyDescent="0.2">
      <c r="Y609" s="28"/>
      <c r="Z609" s="28"/>
      <c r="AA609" s="28"/>
    </row>
    <row r="610" spans="25:27" x14ac:dyDescent="0.2">
      <c r="Y610" s="28"/>
      <c r="Z610" s="28"/>
      <c r="AA610" s="28"/>
    </row>
    <row r="611" spans="25:27" x14ac:dyDescent="0.2">
      <c r="Y611" s="28"/>
      <c r="Z611" s="28"/>
      <c r="AA611" s="28"/>
    </row>
    <row r="612" spans="25:27" x14ac:dyDescent="0.2">
      <c r="Y612" s="28"/>
      <c r="Z612" s="28"/>
      <c r="AA612" s="28"/>
    </row>
    <row r="613" spans="25:27" x14ac:dyDescent="0.2">
      <c r="Y613" s="28"/>
      <c r="Z613" s="28"/>
      <c r="AA613" s="28"/>
    </row>
    <row r="614" spans="25:27" x14ac:dyDescent="0.2">
      <c r="Y614" s="28"/>
      <c r="Z614" s="28"/>
      <c r="AA614" s="28"/>
    </row>
    <row r="615" spans="25:27" x14ac:dyDescent="0.2">
      <c r="Y615" s="28"/>
      <c r="Z615" s="28"/>
      <c r="AA615" s="28"/>
    </row>
    <row r="616" spans="25:27" x14ac:dyDescent="0.2">
      <c r="Y616" s="28"/>
      <c r="Z616" s="28"/>
      <c r="AA616" s="28"/>
    </row>
    <row r="617" spans="25:27" x14ac:dyDescent="0.2">
      <c r="Y617" s="28"/>
      <c r="Z617" s="28"/>
      <c r="AA617" s="28"/>
    </row>
    <row r="618" spans="25:27" x14ac:dyDescent="0.2">
      <c r="Y618" s="28"/>
      <c r="Z618" s="28"/>
      <c r="AA618" s="28"/>
    </row>
    <row r="619" spans="25:27" x14ac:dyDescent="0.2">
      <c r="Y619" s="28"/>
      <c r="Z619" s="28"/>
      <c r="AA619" s="28"/>
    </row>
    <row r="620" spans="25:27" x14ac:dyDescent="0.2">
      <c r="Y620" s="28"/>
      <c r="Z620" s="28"/>
      <c r="AA620" s="28"/>
    </row>
    <row r="621" spans="25:27" x14ac:dyDescent="0.2">
      <c r="Y621" s="28"/>
      <c r="Z621" s="28"/>
      <c r="AA621" s="28"/>
    </row>
    <row r="622" spans="25:27" x14ac:dyDescent="0.2">
      <c r="Y622" s="28"/>
      <c r="Z622" s="28"/>
      <c r="AA622" s="28"/>
    </row>
    <row r="623" spans="25:27" x14ac:dyDescent="0.2">
      <c r="Y623" s="28"/>
      <c r="Z623" s="28"/>
      <c r="AA623" s="28"/>
    </row>
    <row r="624" spans="25:27" x14ac:dyDescent="0.2">
      <c r="Y624" s="28"/>
      <c r="Z624" s="28"/>
      <c r="AA624" s="28"/>
    </row>
    <row r="625" spans="25:27" x14ac:dyDescent="0.2">
      <c r="Y625" s="28"/>
      <c r="Z625" s="28"/>
      <c r="AA625" s="28"/>
    </row>
    <row r="626" spans="25:27" x14ac:dyDescent="0.2">
      <c r="Y626" s="28"/>
      <c r="Z626" s="28"/>
      <c r="AA626" s="28"/>
    </row>
    <row r="627" spans="25:27" x14ac:dyDescent="0.2">
      <c r="Y627" s="28"/>
      <c r="Z627" s="28"/>
      <c r="AA627" s="28"/>
    </row>
    <row r="628" spans="25:27" x14ac:dyDescent="0.2">
      <c r="Y628" s="28"/>
      <c r="Z628" s="28"/>
      <c r="AA628" s="28"/>
    </row>
    <row r="629" spans="25:27" x14ac:dyDescent="0.2">
      <c r="Y629" s="28"/>
      <c r="Z629" s="28"/>
      <c r="AA629" s="28"/>
    </row>
    <row r="630" spans="25:27" x14ac:dyDescent="0.2">
      <c r="Y630" s="28"/>
      <c r="Z630" s="28"/>
      <c r="AA630" s="28"/>
    </row>
    <row r="631" spans="25:27" x14ac:dyDescent="0.2">
      <c r="Y631" s="28"/>
      <c r="Z631" s="28"/>
      <c r="AA631" s="28"/>
    </row>
    <row r="632" spans="25:27" x14ac:dyDescent="0.2">
      <c r="Y632" s="28"/>
      <c r="Z632" s="28"/>
      <c r="AA632" s="28"/>
    </row>
    <row r="633" spans="25:27" x14ac:dyDescent="0.2">
      <c r="Y633" s="28"/>
      <c r="Z633" s="28"/>
      <c r="AA633" s="28"/>
    </row>
    <row r="634" spans="25:27" x14ac:dyDescent="0.2">
      <c r="Y634" s="28"/>
      <c r="Z634" s="28"/>
      <c r="AA634" s="28"/>
    </row>
    <row r="635" spans="25:27" x14ac:dyDescent="0.2">
      <c r="Y635" s="28"/>
      <c r="Z635" s="28"/>
      <c r="AA635" s="28"/>
    </row>
    <row r="636" spans="25:27" x14ac:dyDescent="0.2">
      <c r="Y636" s="28"/>
      <c r="Z636" s="28"/>
      <c r="AA636" s="28"/>
    </row>
    <row r="637" spans="25:27" x14ac:dyDescent="0.2">
      <c r="Y637" s="28"/>
      <c r="Z637" s="28"/>
      <c r="AA637" s="28"/>
    </row>
    <row r="638" spans="25:27" x14ac:dyDescent="0.2">
      <c r="Y638" s="28"/>
      <c r="Z638" s="28"/>
      <c r="AA638" s="28"/>
    </row>
    <row r="639" spans="25:27" x14ac:dyDescent="0.2">
      <c r="Y639" s="28"/>
      <c r="Z639" s="28"/>
      <c r="AA639" s="28"/>
    </row>
    <row r="640" spans="25:27" x14ac:dyDescent="0.2">
      <c r="Y640" s="28"/>
      <c r="Z640" s="28"/>
      <c r="AA640" s="28"/>
    </row>
    <row r="641" spans="25:27" x14ac:dyDescent="0.2">
      <c r="Y641" s="28"/>
      <c r="Z641" s="28"/>
      <c r="AA641" s="28"/>
    </row>
    <row r="642" spans="25:27" x14ac:dyDescent="0.2">
      <c r="Y642" s="28"/>
      <c r="Z642" s="28"/>
      <c r="AA642" s="28"/>
    </row>
    <row r="643" spans="25:27" x14ac:dyDescent="0.2">
      <c r="Y643" s="28"/>
      <c r="Z643" s="28"/>
      <c r="AA643" s="28"/>
    </row>
    <row r="644" spans="25:27" x14ac:dyDescent="0.2">
      <c r="Y644" s="28"/>
      <c r="Z644" s="28"/>
      <c r="AA644" s="28"/>
    </row>
    <row r="645" spans="25:27" x14ac:dyDescent="0.2">
      <c r="Y645" s="28"/>
      <c r="Z645" s="28"/>
      <c r="AA645" s="28"/>
    </row>
    <row r="646" spans="25:27" x14ac:dyDescent="0.2">
      <c r="Y646" s="28"/>
      <c r="Z646" s="28"/>
      <c r="AA646" s="28"/>
    </row>
    <row r="647" spans="25:27" x14ac:dyDescent="0.2">
      <c r="Y647" s="28"/>
      <c r="Z647" s="28"/>
      <c r="AA647" s="28"/>
    </row>
    <row r="648" spans="25:27" x14ac:dyDescent="0.2">
      <c r="Y648" s="28"/>
      <c r="Z648" s="28"/>
      <c r="AA648" s="28"/>
    </row>
    <row r="649" spans="25:27" x14ac:dyDescent="0.2">
      <c r="Y649" s="28"/>
      <c r="Z649" s="28"/>
      <c r="AA649" s="28"/>
    </row>
    <row r="650" spans="25:27" x14ac:dyDescent="0.2">
      <c r="Y650" s="28"/>
      <c r="Z650" s="28"/>
      <c r="AA650" s="28"/>
    </row>
    <row r="651" spans="25:27" x14ac:dyDescent="0.2">
      <c r="Y651" s="28"/>
      <c r="Z651" s="28"/>
      <c r="AA651" s="28"/>
    </row>
    <row r="652" spans="25:27" x14ac:dyDescent="0.2">
      <c r="Y652" s="28"/>
      <c r="Z652" s="28"/>
      <c r="AA652" s="28"/>
    </row>
    <row r="653" spans="25:27" x14ac:dyDescent="0.2">
      <c r="Y653" s="28"/>
      <c r="Z653" s="28"/>
      <c r="AA653" s="28"/>
    </row>
    <row r="654" spans="25:27" x14ac:dyDescent="0.2">
      <c r="Y654" s="28"/>
      <c r="Z654" s="28"/>
      <c r="AA654" s="28"/>
    </row>
    <row r="655" spans="25:27" x14ac:dyDescent="0.2">
      <c r="Y655" s="28"/>
      <c r="Z655" s="28"/>
      <c r="AA655" s="28"/>
    </row>
    <row r="656" spans="25:27" x14ac:dyDescent="0.2">
      <c r="Y656" s="28"/>
      <c r="Z656" s="28"/>
      <c r="AA656" s="28"/>
    </row>
    <row r="657" spans="25:27" x14ac:dyDescent="0.2">
      <c r="Y657" s="28"/>
      <c r="Z657" s="28"/>
      <c r="AA657" s="28"/>
    </row>
    <row r="658" spans="25:27" x14ac:dyDescent="0.2">
      <c r="Y658" s="28"/>
      <c r="Z658" s="28"/>
      <c r="AA658" s="28"/>
    </row>
    <row r="659" spans="25:27" x14ac:dyDescent="0.2">
      <c r="Y659" s="28"/>
      <c r="Z659" s="28"/>
      <c r="AA659" s="28"/>
    </row>
    <row r="660" spans="25:27" x14ac:dyDescent="0.2">
      <c r="Y660" s="28"/>
      <c r="Z660" s="28"/>
      <c r="AA660" s="28"/>
    </row>
    <row r="661" spans="25:27" x14ac:dyDescent="0.2">
      <c r="Y661" s="28"/>
      <c r="Z661" s="28"/>
      <c r="AA661" s="28"/>
    </row>
    <row r="662" spans="25:27" x14ac:dyDescent="0.2">
      <c r="Y662" s="28"/>
      <c r="Z662" s="28"/>
      <c r="AA662" s="28"/>
    </row>
    <row r="663" spans="25:27" x14ac:dyDescent="0.2">
      <c r="Y663" s="28"/>
      <c r="Z663" s="28"/>
      <c r="AA663" s="28"/>
    </row>
    <row r="664" spans="25:27" x14ac:dyDescent="0.2">
      <c r="Y664" s="28"/>
      <c r="Z664" s="28"/>
      <c r="AA664" s="28"/>
    </row>
    <row r="665" spans="25:27" x14ac:dyDescent="0.2">
      <c r="Y665" s="28"/>
      <c r="Z665" s="28"/>
      <c r="AA665" s="28"/>
    </row>
    <row r="666" spans="25:27" x14ac:dyDescent="0.2">
      <c r="Y666" s="28"/>
      <c r="Z666" s="28"/>
      <c r="AA666" s="28"/>
    </row>
    <row r="667" spans="25:27" x14ac:dyDescent="0.2">
      <c r="Y667" s="28"/>
      <c r="Z667" s="28"/>
      <c r="AA667" s="28"/>
    </row>
    <row r="668" spans="25:27" x14ac:dyDescent="0.2">
      <c r="Y668" s="28"/>
      <c r="Z668" s="28"/>
      <c r="AA668" s="28"/>
    </row>
    <row r="669" spans="25:27" x14ac:dyDescent="0.2">
      <c r="Y669" s="28"/>
      <c r="Z669" s="28"/>
      <c r="AA669" s="28"/>
    </row>
    <row r="670" spans="25:27" x14ac:dyDescent="0.2">
      <c r="Y670" s="28"/>
      <c r="Z670" s="28"/>
      <c r="AA670" s="28"/>
    </row>
    <row r="671" spans="25:27" x14ac:dyDescent="0.2">
      <c r="Y671" s="28"/>
      <c r="Z671" s="28"/>
      <c r="AA671" s="28"/>
    </row>
    <row r="672" spans="25:27" x14ac:dyDescent="0.2">
      <c r="Y672" s="28"/>
      <c r="Z672" s="28"/>
      <c r="AA672" s="28"/>
    </row>
    <row r="673" spans="25:27" x14ac:dyDescent="0.2">
      <c r="Y673" s="28"/>
      <c r="Z673" s="28"/>
      <c r="AA673" s="28"/>
    </row>
    <row r="674" spans="25:27" x14ac:dyDescent="0.2">
      <c r="Y674" s="28"/>
      <c r="Z674" s="28"/>
      <c r="AA674" s="28"/>
    </row>
    <row r="675" spans="25:27" x14ac:dyDescent="0.2">
      <c r="Y675" s="28"/>
      <c r="Z675" s="28"/>
      <c r="AA675" s="28"/>
    </row>
    <row r="676" spans="25:27" x14ac:dyDescent="0.2">
      <c r="Y676" s="28"/>
      <c r="Z676" s="28"/>
      <c r="AA676" s="28"/>
    </row>
    <row r="677" spans="25:27" x14ac:dyDescent="0.2">
      <c r="Y677" s="28"/>
      <c r="Z677" s="28"/>
      <c r="AA677" s="28"/>
    </row>
    <row r="678" spans="25:27" x14ac:dyDescent="0.2">
      <c r="Y678" s="28"/>
      <c r="Z678" s="28"/>
      <c r="AA678" s="28"/>
    </row>
    <row r="679" spans="25:27" x14ac:dyDescent="0.2">
      <c r="Y679" s="28"/>
      <c r="Z679" s="28"/>
      <c r="AA679" s="28"/>
    </row>
    <row r="680" spans="25:27" x14ac:dyDescent="0.2">
      <c r="Y680" s="28"/>
      <c r="Z680" s="28"/>
      <c r="AA680" s="28"/>
    </row>
    <row r="681" spans="25:27" x14ac:dyDescent="0.2">
      <c r="Y681" s="28"/>
      <c r="Z681" s="28"/>
      <c r="AA681" s="28"/>
    </row>
    <row r="682" spans="25:27" x14ac:dyDescent="0.2">
      <c r="Y682" s="28"/>
      <c r="Z682" s="28"/>
      <c r="AA682" s="28"/>
    </row>
    <row r="683" spans="25:27" x14ac:dyDescent="0.2">
      <c r="Y683" s="28"/>
      <c r="Z683" s="28"/>
      <c r="AA683" s="28"/>
    </row>
    <row r="684" spans="25:27" x14ac:dyDescent="0.2">
      <c r="Y684" s="28"/>
      <c r="Z684" s="28"/>
      <c r="AA684" s="28"/>
    </row>
    <row r="685" spans="25:27" x14ac:dyDescent="0.2">
      <c r="Y685" s="28"/>
      <c r="Z685" s="28"/>
      <c r="AA685" s="28"/>
    </row>
    <row r="686" spans="25:27" x14ac:dyDescent="0.2">
      <c r="Y686" s="28"/>
      <c r="Z686" s="28"/>
      <c r="AA686" s="28"/>
    </row>
    <row r="687" spans="25:27" x14ac:dyDescent="0.2">
      <c r="Y687" s="28"/>
      <c r="Z687" s="28"/>
      <c r="AA687" s="28"/>
    </row>
    <row r="688" spans="25:27" x14ac:dyDescent="0.2">
      <c r="Y688" s="28"/>
      <c r="Z688" s="28"/>
      <c r="AA688" s="28"/>
    </row>
    <row r="689" spans="25:27" x14ac:dyDescent="0.2">
      <c r="Y689" s="28"/>
      <c r="Z689" s="28"/>
      <c r="AA689" s="28"/>
    </row>
    <row r="690" spans="25:27" x14ac:dyDescent="0.2">
      <c r="Y690" s="28"/>
      <c r="Z690" s="28"/>
      <c r="AA690" s="28"/>
    </row>
    <row r="691" spans="25:27" x14ac:dyDescent="0.2">
      <c r="Y691" s="28"/>
      <c r="Z691" s="28"/>
      <c r="AA691" s="28"/>
    </row>
    <row r="692" spans="25:27" x14ac:dyDescent="0.2">
      <c r="Y692" s="28"/>
      <c r="Z692" s="28"/>
      <c r="AA692" s="28"/>
    </row>
    <row r="693" spans="25:27" x14ac:dyDescent="0.2">
      <c r="Y693" s="28"/>
      <c r="Z693" s="28"/>
      <c r="AA693" s="28"/>
    </row>
    <row r="694" spans="25:27" x14ac:dyDescent="0.2">
      <c r="Y694" s="28"/>
      <c r="Z694" s="28"/>
      <c r="AA694" s="28"/>
    </row>
    <row r="695" spans="25:27" x14ac:dyDescent="0.2">
      <c r="Y695" s="28"/>
      <c r="Z695" s="28"/>
      <c r="AA695" s="28"/>
    </row>
    <row r="696" spans="25:27" x14ac:dyDescent="0.2">
      <c r="Y696" s="28"/>
      <c r="Z696" s="28"/>
      <c r="AA696" s="28"/>
    </row>
    <row r="697" spans="25:27" x14ac:dyDescent="0.2">
      <c r="Y697" s="28"/>
      <c r="Z697" s="28"/>
      <c r="AA697" s="28"/>
    </row>
    <row r="698" spans="25:27" x14ac:dyDescent="0.2">
      <c r="Y698" s="28"/>
      <c r="Z698" s="28"/>
      <c r="AA698" s="28"/>
    </row>
    <row r="699" spans="25:27" x14ac:dyDescent="0.2">
      <c r="Y699" s="28"/>
      <c r="Z699" s="28"/>
      <c r="AA699" s="28"/>
    </row>
    <row r="700" spans="25:27" x14ac:dyDescent="0.2">
      <c r="Y700" s="28"/>
      <c r="Z700" s="28"/>
      <c r="AA700" s="28"/>
    </row>
    <row r="701" spans="25:27" x14ac:dyDescent="0.2">
      <c r="Y701" s="28"/>
      <c r="Z701" s="28"/>
      <c r="AA701" s="28"/>
    </row>
    <row r="702" spans="25:27" x14ac:dyDescent="0.2">
      <c r="Y702" s="28"/>
      <c r="Z702" s="28"/>
      <c r="AA702" s="28"/>
    </row>
    <row r="703" spans="25:27" x14ac:dyDescent="0.2">
      <c r="Y703" s="28"/>
      <c r="Z703" s="28"/>
      <c r="AA703" s="28"/>
    </row>
    <row r="704" spans="25:27" x14ac:dyDescent="0.2">
      <c r="Y704" s="28"/>
      <c r="Z704" s="28"/>
      <c r="AA704" s="28"/>
    </row>
    <row r="705" spans="25:27" x14ac:dyDescent="0.2">
      <c r="Y705" s="28"/>
      <c r="Z705" s="28"/>
      <c r="AA705" s="28"/>
    </row>
    <row r="706" spans="25:27" x14ac:dyDescent="0.2">
      <c r="Y706" s="28"/>
      <c r="Z706" s="28"/>
      <c r="AA706" s="28"/>
    </row>
    <row r="707" spans="25:27" x14ac:dyDescent="0.2">
      <c r="Y707" s="28"/>
      <c r="Z707" s="28"/>
      <c r="AA707" s="28"/>
    </row>
    <row r="708" spans="25:27" x14ac:dyDescent="0.2">
      <c r="Y708" s="28"/>
      <c r="Z708" s="28"/>
      <c r="AA708" s="28"/>
    </row>
    <row r="709" spans="25:27" x14ac:dyDescent="0.2">
      <c r="Y709" s="28"/>
      <c r="Z709" s="28"/>
      <c r="AA709" s="28"/>
    </row>
    <row r="710" spans="25:27" x14ac:dyDescent="0.2">
      <c r="Y710" s="28"/>
      <c r="Z710" s="28"/>
      <c r="AA710" s="28"/>
    </row>
    <row r="711" spans="25:27" x14ac:dyDescent="0.2">
      <c r="Y711" s="28"/>
      <c r="Z711" s="28"/>
      <c r="AA711" s="28"/>
    </row>
    <row r="712" spans="25:27" x14ac:dyDescent="0.2">
      <c r="Y712" s="28"/>
      <c r="Z712" s="28"/>
      <c r="AA712" s="28"/>
    </row>
    <row r="713" spans="25:27" x14ac:dyDescent="0.2">
      <c r="Y713" s="28"/>
      <c r="Z713" s="28"/>
      <c r="AA713" s="28"/>
    </row>
    <row r="714" spans="25:27" x14ac:dyDescent="0.2">
      <c r="Y714" s="28"/>
      <c r="Z714" s="28"/>
      <c r="AA714" s="28"/>
    </row>
    <row r="715" spans="25:27" x14ac:dyDescent="0.2">
      <c r="Y715" s="28"/>
      <c r="Z715" s="28"/>
      <c r="AA715" s="28"/>
    </row>
    <row r="716" spans="25:27" x14ac:dyDescent="0.2">
      <c r="Y716" s="28"/>
      <c r="Z716" s="28"/>
      <c r="AA716" s="28"/>
    </row>
    <row r="717" spans="25:27" x14ac:dyDescent="0.2">
      <c r="Y717" s="28"/>
      <c r="Z717" s="28"/>
      <c r="AA717" s="28"/>
    </row>
    <row r="718" spans="25:27" x14ac:dyDescent="0.2">
      <c r="Y718" s="28"/>
      <c r="Z718" s="28"/>
      <c r="AA718" s="28"/>
    </row>
    <row r="719" spans="25:27" x14ac:dyDescent="0.2">
      <c r="Y719" s="28"/>
      <c r="Z719" s="28"/>
      <c r="AA719" s="28"/>
    </row>
    <row r="720" spans="25:27" x14ac:dyDescent="0.2">
      <c r="Y720" s="28"/>
      <c r="Z720" s="28"/>
      <c r="AA720" s="28"/>
    </row>
    <row r="721" spans="25:27" x14ac:dyDescent="0.2">
      <c r="Y721" s="28"/>
      <c r="Z721" s="28"/>
      <c r="AA721" s="28"/>
    </row>
    <row r="722" spans="25:27" x14ac:dyDescent="0.2">
      <c r="Y722" s="28"/>
      <c r="Z722" s="28"/>
      <c r="AA722" s="28"/>
    </row>
    <row r="723" spans="25:27" x14ac:dyDescent="0.2">
      <c r="Y723" s="28"/>
      <c r="Z723" s="28"/>
      <c r="AA723" s="28"/>
    </row>
    <row r="724" spans="25:27" x14ac:dyDescent="0.2">
      <c r="Y724" s="28"/>
      <c r="Z724" s="28"/>
      <c r="AA724" s="28"/>
    </row>
    <row r="725" spans="25:27" x14ac:dyDescent="0.2">
      <c r="Y725" s="28"/>
      <c r="Z725" s="28"/>
      <c r="AA725" s="28"/>
    </row>
    <row r="726" spans="25:27" x14ac:dyDescent="0.2">
      <c r="Y726" s="28"/>
      <c r="Z726" s="28"/>
      <c r="AA726" s="28"/>
    </row>
    <row r="727" spans="25:27" x14ac:dyDescent="0.2">
      <c r="Y727" s="28"/>
      <c r="Z727" s="28"/>
      <c r="AA727" s="28"/>
    </row>
    <row r="728" spans="25:27" x14ac:dyDescent="0.2">
      <c r="Y728" s="28"/>
      <c r="Z728" s="28"/>
      <c r="AA728" s="28"/>
    </row>
    <row r="729" spans="25:27" x14ac:dyDescent="0.2">
      <c r="Y729" s="28"/>
      <c r="Z729" s="28"/>
      <c r="AA729" s="28"/>
    </row>
    <row r="730" spans="25:27" x14ac:dyDescent="0.2">
      <c r="Y730" s="28"/>
      <c r="Z730" s="28"/>
      <c r="AA730" s="28"/>
    </row>
    <row r="731" spans="25:27" x14ac:dyDescent="0.2">
      <c r="Y731" s="28"/>
      <c r="Z731" s="28"/>
      <c r="AA731" s="28"/>
    </row>
    <row r="732" spans="25:27" x14ac:dyDescent="0.2">
      <c r="Y732" s="28"/>
      <c r="Z732" s="28"/>
      <c r="AA732" s="28"/>
    </row>
    <row r="733" spans="25:27" x14ac:dyDescent="0.2">
      <c r="Y733" s="28"/>
      <c r="Z733" s="28"/>
      <c r="AA733" s="28"/>
    </row>
    <row r="734" spans="25:27" x14ac:dyDescent="0.2">
      <c r="Y734" s="28"/>
      <c r="Z734" s="28"/>
      <c r="AA734" s="28"/>
    </row>
    <row r="735" spans="25:27" x14ac:dyDescent="0.2">
      <c r="Y735" s="28"/>
      <c r="Z735" s="28"/>
      <c r="AA735" s="28"/>
    </row>
    <row r="736" spans="25:27" x14ac:dyDescent="0.2">
      <c r="Y736" s="28"/>
      <c r="Z736" s="28"/>
      <c r="AA736" s="28"/>
    </row>
    <row r="737" spans="25:27" x14ac:dyDescent="0.2">
      <c r="Y737" s="28"/>
      <c r="Z737" s="28"/>
      <c r="AA737" s="28"/>
    </row>
    <row r="738" spans="25:27" x14ac:dyDescent="0.2">
      <c r="Y738" s="28"/>
      <c r="Z738" s="28"/>
      <c r="AA738" s="28"/>
    </row>
    <row r="739" spans="25:27" x14ac:dyDescent="0.2">
      <c r="Y739" s="28"/>
      <c r="Z739" s="28"/>
      <c r="AA739" s="28"/>
    </row>
    <row r="740" spans="25:27" x14ac:dyDescent="0.2">
      <c r="Y740" s="28"/>
      <c r="Z740" s="28"/>
      <c r="AA740" s="28"/>
    </row>
    <row r="741" spans="25:27" x14ac:dyDescent="0.2">
      <c r="Y741" s="28"/>
      <c r="Z741" s="28"/>
      <c r="AA741" s="28"/>
    </row>
    <row r="742" spans="25:27" x14ac:dyDescent="0.2">
      <c r="Y742" s="28"/>
      <c r="Z742" s="28"/>
      <c r="AA742" s="28"/>
    </row>
    <row r="743" spans="25:27" x14ac:dyDescent="0.2">
      <c r="Y743" s="28"/>
      <c r="Z743" s="28"/>
      <c r="AA743" s="28"/>
    </row>
    <row r="744" spans="25:27" x14ac:dyDescent="0.2">
      <c r="Y744" s="28"/>
      <c r="Z744" s="28"/>
      <c r="AA744" s="28"/>
    </row>
    <row r="745" spans="25:27" x14ac:dyDescent="0.2">
      <c r="Y745" s="28"/>
      <c r="Z745" s="28"/>
      <c r="AA745" s="28"/>
    </row>
    <row r="746" spans="25:27" x14ac:dyDescent="0.2">
      <c r="Y746" s="28"/>
      <c r="Z746" s="28"/>
      <c r="AA746" s="28"/>
    </row>
    <row r="747" spans="25:27" x14ac:dyDescent="0.2">
      <c r="Y747" s="28"/>
      <c r="Z747" s="28"/>
      <c r="AA747" s="28"/>
    </row>
    <row r="748" spans="25:27" x14ac:dyDescent="0.2">
      <c r="Y748" s="28"/>
      <c r="Z748" s="28"/>
      <c r="AA748" s="28"/>
    </row>
    <row r="749" spans="25:27" x14ac:dyDescent="0.2">
      <c r="Y749" s="28"/>
      <c r="Z749" s="28"/>
      <c r="AA749" s="28"/>
    </row>
    <row r="750" spans="25:27" x14ac:dyDescent="0.2">
      <c r="Y750" s="28"/>
      <c r="Z750" s="28"/>
      <c r="AA750" s="28"/>
    </row>
    <row r="751" spans="25:27" x14ac:dyDescent="0.2">
      <c r="Y751" s="28"/>
      <c r="Z751" s="28"/>
      <c r="AA751" s="28"/>
    </row>
    <row r="752" spans="25:27" x14ac:dyDescent="0.2">
      <c r="Y752" s="28"/>
      <c r="Z752" s="28"/>
      <c r="AA752" s="28"/>
    </row>
    <row r="753" spans="25:27" x14ac:dyDescent="0.2">
      <c r="Y753" s="28"/>
      <c r="Z753" s="28"/>
      <c r="AA753" s="28"/>
    </row>
    <row r="754" spans="25:27" x14ac:dyDescent="0.2">
      <c r="Y754" s="28"/>
      <c r="Z754" s="28"/>
      <c r="AA754" s="28"/>
    </row>
    <row r="755" spans="25:27" x14ac:dyDescent="0.2">
      <c r="Y755" s="28"/>
      <c r="Z755" s="28"/>
      <c r="AA755" s="28"/>
    </row>
    <row r="756" spans="25:27" x14ac:dyDescent="0.2">
      <c r="Y756" s="28"/>
      <c r="Z756" s="28"/>
      <c r="AA756" s="28"/>
    </row>
    <row r="757" spans="25:27" x14ac:dyDescent="0.2">
      <c r="Y757" s="28"/>
      <c r="Z757" s="28"/>
      <c r="AA757" s="28"/>
    </row>
    <row r="758" spans="25:27" x14ac:dyDescent="0.2">
      <c r="Y758" s="28"/>
      <c r="Z758" s="28"/>
      <c r="AA758" s="28"/>
    </row>
    <row r="759" spans="25:27" x14ac:dyDescent="0.2">
      <c r="Y759" s="28"/>
      <c r="Z759" s="28"/>
      <c r="AA759" s="28"/>
    </row>
    <row r="760" spans="25:27" x14ac:dyDescent="0.2">
      <c r="Y760" s="28"/>
      <c r="Z760" s="28"/>
      <c r="AA760" s="28"/>
    </row>
    <row r="761" spans="25:27" x14ac:dyDescent="0.2">
      <c r="Y761" s="28"/>
      <c r="Z761" s="28"/>
      <c r="AA761" s="28"/>
    </row>
    <row r="762" spans="25:27" x14ac:dyDescent="0.2">
      <c r="Y762" s="28"/>
      <c r="Z762" s="28"/>
      <c r="AA762" s="28"/>
    </row>
    <row r="763" spans="25:27" x14ac:dyDescent="0.2">
      <c r="Y763" s="28"/>
      <c r="Z763" s="28"/>
      <c r="AA763" s="28"/>
    </row>
    <row r="764" spans="25:27" x14ac:dyDescent="0.2">
      <c r="Y764" s="28"/>
      <c r="Z764" s="28"/>
      <c r="AA764" s="28"/>
    </row>
    <row r="765" spans="25:27" x14ac:dyDescent="0.2">
      <c r="Y765" s="28"/>
      <c r="Z765" s="28"/>
      <c r="AA765" s="28"/>
    </row>
    <row r="766" spans="25:27" x14ac:dyDescent="0.2">
      <c r="Y766" s="28"/>
      <c r="Z766" s="28"/>
      <c r="AA766" s="28"/>
    </row>
    <row r="767" spans="25:27" x14ac:dyDescent="0.2">
      <c r="Y767" s="28"/>
      <c r="Z767" s="28"/>
      <c r="AA767" s="28"/>
    </row>
    <row r="768" spans="25:27" x14ac:dyDescent="0.2">
      <c r="Y768" s="28"/>
      <c r="Z768" s="28"/>
      <c r="AA768" s="28"/>
    </row>
    <row r="769" spans="25:27" x14ac:dyDescent="0.2">
      <c r="Y769" s="28"/>
      <c r="Z769" s="28"/>
      <c r="AA769" s="28"/>
    </row>
    <row r="770" spans="25:27" x14ac:dyDescent="0.2">
      <c r="Y770" s="28"/>
      <c r="Z770" s="28"/>
      <c r="AA770" s="28"/>
    </row>
    <row r="771" spans="25:27" x14ac:dyDescent="0.2">
      <c r="Y771" s="28"/>
      <c r="Z771" s="28"/>
      <c r="AA771" s="28"/>
    </row>
    <row r="772" spans="25:27" x14ac:dyDescent="0.2">
      <c r="Y772" s="28"/>
      <c r="Z772" s="28"/>
      <c r="AA772" s="28"/>
    </row>
    <row r="773" spans="25:27" x14ac:dyDescent="0.2">
      <c r="Y773" s="28"/>
      <c r="Z773" s="28"/>
      <c r="AA773" s="28"/>
    </row>
    <row r="774" spans="25:27" x14ac:dyDescent="0.2">
      <c r="Y774" s="28"/>
      <c r="Z774" s="28"/>
      <c r="AA774" s="28"/>
    </row>
    <row r="775" spans="25:27" x14ac:dyDescent="0.2">
      <c r="Y775" s="28"/>
      <c r="Z775" s="28"/>
      <c r="AA775" s="28"/>
    </row>
    <row r="776" spans="25:27" x14ac:dyDescent="0.2">
      <c r="Y776" s="28"/>
      <c r="Z776" s="28"/>
      <c r="AA776" s="28"/>
    </row>
    <row r="777" spans="25:27" x14ac:dyDescent="0.2">
      <c r="Y777" s="28"/>
      <c r="Z777" s="28"/>
      <c r="AA777" s="28"/>
    </row>
    <row r="778" spans="25:27" x14ac:dyDescent="0.2">
      <c r="Y778" s="28"/>
      <c r="Z778" s="28"/>
      <c r="AA778" s="28"/>
    </row>
    <row r="779" spans="25:27" x14ac:dyDescent="0.2">
      <c r="Y779" s="28"/>
      <c r="Z779" s="28"/>
      <c r="AA779" s="28"/>
    </row>
    <row r="780" spans="25:27" x14ac:dyDescent="0.2">
      <c r="Y780" s="28"/>
      <c r="Z780" s="28"/>
      <c r="AA780" s="28"/>
    </row>
    <row r="781" spans="25:27" x14ac:dyDescent="0.2">
      <c r="Y781" s="28"/>
      <c r="Z781" s="28"/>
      <c r="AA781" s="28"/>
    </row>
    <row r="782" spans="25:27" x14ac:dyDescent="0.2">
      <c r="Y782" s="28"/>
      <c r="Z782" s="28"/>
      <c r="AA782" s="28"/>
    </row>
    <row r="783" spans="25:27" x14ac:dyDescent="0.2">
      <c r="Y783" s="28"/>
      <c r="Z783" s="28"/>
      <c r="AA783" s="28"/>
    </row>
    <row r="784" spans="25:27" x14ac:dyDescent="0.2">
      <c r="Y784" s="28"/>
      <c r="Z784" s="28"/>
      <c r="AA784" s="28"/>
    </row>
    <row r="785" spans="25:27" x14ac:dyDescent="0.2">
      <c r="Y785" s="28"/>
      <c r="Z785" s="28"/>
      <c r="AA785" s="28"/>
    </row>
    <row r="786" spans="25:27" x14ac:dyDescent="0.2">
      <c r="Y786" s="28"/>
      <c r="Z786" s="28"/>
      <c r="AA786" s="28"/>
    </row>
    <row r="787" spans="25:27" x14ac:dyDescent="0.2">
      <c r="Y787" s="28"/>
      <c r="Z787" s="28"/>
      <c r="AA787" s="28"/>
    </row>
    <row r="788" spans="25:27" x14ac:dyDescent="0.2">
      <c r="Y788" s="28"/>
      <c r="Z788" s="28"/>
      <c r="AA788" s="28"/>
    </row>
    <row r="789" spans="25:27" x14ac:dyDescent="0.2">
      <c r="Y789" s="28"/>
      <c r="Z789" s="28"/>
      <c r="AA789" s="28"/>
    </row>
    <row r="790" spans="25:27" x14ac:dyDescent="0.2">
      <c r="Y790" s="28"/>
      <c r="Z790" s="28"/>
      <c r="AA790" s="28"/>
    </row>
    <row r="791" spans="25:27" x14ac:dyDescent="0.2">
      <c r="Y791" s="28"/>
      <c r="Z791" s="28"/>
      <c r="AA791" s="28"/>
    </row>
    <row r="792" spans="25:27" x14ac:dyDescent="0.2">
      <c r="Y792" s="28"/>
      <c r="Z792" s="28"/>
      <c r="AA792" s="28"/>
    </row>
    <row r="793" spans="25:27" x14ac:dyDescent="0.2">
      <c r="Y793" s="28"/>
      <c r="Z793" s="28"/>
      <c r="AA793" s="28"/>
    </row>
    <row r="794" spans="25:27" x14ac:dyDescent="0.2">
      <c r="Y794" s="28"/>
      <c r="Z794" s="28"/>
      <c r="AA794" s="28"/>
    </row>
    <row r="795" spans="25:27" x14ac:dyDescent="0.2">
      <c r="Y795" s="28"/>
      <c r="Z795" s="28"/>
      <c r="AA795" s="28"/>
    </row>
    <row r="796" spans="25:27" x14ac:dyDescent="0.2">
      <c r="Y796" s="28"/>
      <c r="Z796" s="28"/>
      <c r="AA796" s="28"/>
    </row>
    <row r="797" spans="25:27" x14ac:dyDescent="0.2">
      <c r="Y797" s="28"/>
      <c r="Z797" s="28"/>
      <c r="AA797" s="28"/>
    </row>
    <row r="798" spans="25:27" x14ac:dyDescent="0.2">
      <c r="Y798" s="28"/>
      <c r="Z798" s="28"/>
      <c r="AA798" s="28"/>
    </row>
    <row r="799" spans="25:27" x14ac:dyDescent="0.2">
      <c r="Y799" s="28"/>
      <c r="Z799" s="28"/>
      <c r="AA799" s="28"/>
    </row>
    <row r="800" spans="25:27" x14ac:dyDescent="0.2">
      <c r="Y800" s="28"/>
      <c r="Z800" s="28"/>
      <c r="AA800" s="28"/>
    </row>
    <row r="801" spans="25:27" x14ac:dyDescent="0.2">
      <c r="Y801" s="28"/>
      <c r="Z801" s="28"/>
      <c r="AA801" s="28"/>
    </row>
    <row r="802" spans="25:27" x14ac:dyDescent="0.2">
      <c r="Y802" s="28"/>
      <c r="Z802" s="28"/>
      <c r="AA802" s="28"/>
    </row>
    <row r="803" spans="25:27" x14ac:dyDescent="0.2">
      <c r="Y803" s="28"/>
      <c r="Z803" s="28"/>
      <c r="AA803" s="28"/>
    </row>
    <row r="804" spans="25:27" x14ac:dyDescent="0.2">
      <c r="Y804" s="28"/>
      <c r="Z804" s="28"/>
      <c r="AA804" s="28"/>
    </row>
    <row r="805" spans="25:27" x14ac:dyDescent="0.2">
      <c r="Y805" s="28"/>
      <c r="Z805" s="28"/>
      <c r="AA805" s="28"/>
    </row>
    <row r="806" spans="25:27" x14ac:dyDescent="0.2">
      <c r="Y806" s="28"/>
      <c r="Z806" s="28"/>
      <c r="AA806" s="28"/>
    </row>
    <row r="807" spans="25:27" x14ac:dyDescent="0.2">
      <c r="Y807" s="28"/>
      <c r="Z807" s="28"/>
      <c r="AA807" s="28"/>
    </row>
    <row r="808" spans="25:27" x14ac:dyDescent="0.2">
      <c r="Y808" s="28"/>
      <c r="Z808" s="28"/>
      <c r="AA808" s="28"/>
    </row>
    <row r="809" spans="25:27" x14ac:dyDescent="0.2">
      <c r="Y809" s="28"/>
      <c r="Z809" s="28"/>
      <c r="AA809" s="28"/>
    </row>
    <row r="810" spans="25:27" x14ac:dyDescent="0.2">
      <c r="Y810" s="28"/>
      <c r="Z810" s="28"/>
      <c r="AA810" s="28"/>
    </row>
    <row r="811" spans="25:27" x14ac:dyDescent="0.2">
      <c r="Y811" s="28"/>
      <c r="Z811" s="28"/>
      <c r="AA811" s="28"/>
    </row>
    <row r="812" spans="25:27" x14ac:dyDescent="0.2">
      <c r="Y812" s="28"/>
      <c r="Z812" s="28"/>
      <c r="AA812" s="28"/>
    </row>
    <row r="813" spans="25:27" x14ac:dyDescent="0.2">
      <c r="Y813" s="28"/>
      <c r="Z813" s="28"/>
      <c r="AA813" s="28"/>
    </row>
    <row r="814" spans="25:27" x14ac:dyDescent="0.2">
      <c r="Y814" s="28"/>
      <c r="Z814" s="28"/>
      <c r="AA814" s="28"/>
    </row>
    <row r="815" spans="25:27" x14ac:dyDescent="0.2">
      <c r="Y815" s="28"/>
      <c r="Z815" s="28"/>
      <c r="AA815" s="28"/>
    </row>
    <row r="816" spans="25:27" x14ac:dyDescent="0.2">
      <c r="Y816" s="28"/>
      <c r="Z816" s="28"/>
      <c r="AA816" s="28"/>
    </row>
    <row r="817" spans="25:27" x14ac:dyDescent="0.2">
      <c r="Y817" s="28"/>
      <c r="Z817" s="28"/>
      <c r="AA817" s="28"/>
    </row>
    <row r="818" spans="25:27" x14ac:dyDescent="0.2">
      <c r="Y818" s="28"/>
      <c r="Z818" s="28"/>
      <c r="AA818" s="28"/>
    </row>
    <row r="819" spans="25:27" x14ac:dyDescent="0.2">
      <c r="Y819" s="28"/>
      <c r="Z819" s="28"/>
      <c r="AA819" s="28"/>
    </row>
    <row r="820" spans="25:27" x14ac:dyDescent="0.2">
      <c r="Y820" s="28"/>
      <c r="Z820" s="28"/>
      <c r="AA820" s="28"/>
    </row>
    <row r="821" spans="25:27" x14ac:dyDescent="0.2">
      <c r="Y821" s="28"/>
      <c r="Z821" s="28"/>
      <c r="AA821" s="28"/>
    </row>
    <row r="822" spans="25:27" x14ac:dyDescent="0.2">
      <c r="Y822" s="28"/>
      <c r="Z822" s="28"/>
      <c r="AA822" s="28"/>
    </row>
    <row r="823" spans="25:27" x14ac:dyDescent="0.2">
      <c r="Y823" s="28"/>
      <c r="Z823" s="28"/>
      <c r="AA823" s="28"/>
    </row>
    <row r="824" spans="25:27" x14ac:dyDescent="0.2">
      <c r="Y824" s="28"/>
      <c r="Z824" s="28"/>
      <c r="AA824" s="28"/>
    </row>
    <row r="825" spans="25:27" x14ac:dyDescent="0.2">
      <c r="Y825" s="28"/>
      <c r="Z825" s="28"/>
      <c r="AA825" s="28"/>
    </row>
    <row r="826" spans="25:27" x14ac:dyDescent="0.2">
      <c r="Y826" s="28"/>
      <c r="Z826" s="28"/>
      <c r="AA826" s="28"/>
    </row>
    <row r="827" spans="25:27" x14ac:dyDescent="0.2">
      <c r="Y827" s="28"/>
      <c r="Z827" s="28"/>
      <c r="AA827" s="28"/>
    </row>
    <row r="828" spans="25:27" x14ac:dyDescent="0.2">
      <c r="Y828" s="28"/>
      <c r="Z828" s="28"/>
      <c r="AA828" s="28"/>
    </row>
    <row r="829" spans="25:27" x14ac:dyDescent="0.2">
      <c r="Y829" s="28"/>
      <c r="Z829" s="28"/>
      <c r="AA829" s="28"/>
    </row>
    <row r="830" spans="25:27" x14ac:dyDescent="0.2">
      <c r="Y830" s="28"/>
      <c r="Z830" s="28"/>
      <c r="AA830" s="28"/>
    </row>
    <row r="831" spans="25:27" x14ac:dyDescent="0.2">
      <c r="Y831" s="28"/>
      <c r="Z831" s="28"/>
      <c r="AA831" s="28"/>
    </row>
    <row r="832" spans="25:27" x14ac:dyDescent="0.2">
      <c r="Y832" s="28"/>
      <c r="Z832" s="28"/>
      <c r="AA832" s="28"/>
    </row>
    <row r="833" spans="25:27" x14ac:dyDescent="0.2">
      <c r="Y833" s="28"/>
      <c r="Z833" s="28"/>
      <c r="AA833" s="28"/>
    </row>
    <row r="834" spans="25:27" x14ac:dyDescent="0.2">
      <c r="Y834" s="28"/>
      <c r="Z834" s="28"/>
      <c r="AA834" s="28"/>
    </row>
    <row r="835" spans="25:27" x14ac:dyDescent="0.2">
      <c r="Y835" s="28"/>
      <c r="Z835" s="28"/>
      <c r="AA835" s="28"/>
    </row>
    <row r="836" spans="25:27" x14ac:dyDescent="0.2">
      <c r="Y836" s="28"/>
      <c r="Z836" s="28"/>
      <c r="AA836" s="28"/>
    </row>
    <row r="837" spans="25:27" x14ac:dyDescent="0.2">
      <c r="Y837" s="28"/>
      <c r="Z837" s="28"/>
      <c r="AA837" s="28"/>
    </row>
    <row r="838" spans="25:27" x14ac:dyDescent="0.2">
      <c r="Y838" s="28"/>
      <c r="Z838" s="28"/>
      <c r="AA838" s="28"/>
    </row>
    <row r="839" spans="25:27" x14ac:dyDescent="0.2">
      <c r="Y839" s="28"/>
      <c r="Z839" s="28"/>
      <c r="AA839" s="28"/>
    </row>
    <row r="840" spans="25:27" x14ac:dyDescent="0.2">
      <c r="Y840" s="28"/>
      <c r="Z840" s="28"/>
      <c r="AA840" s="28"/>
    </row>
    <row r="841" spans="25:27" x14ac:dyDescent="0.2">
      <c r="Y841" s="28"/>
      <c r="Z841" s="28"/>
      <c r="AA841" s="28"/>
    </row>
    <row r="842" spans="25:27" x14ac:dyDescent="0.2">
      <c r="Y842" s="28"/>
      <c r="Z842" s="28"/>
      <c r="AA842" s="28"/>
    </row>
    <row r="843" spans="25:27" x14ac:dyDescent="0.2">
      <c r="Y843" s="28"/>
      <c r="Z843" s="28"/>
      <c r="AA843" s="28"/>
    </row>
    <row r="844" spans="25:27" x14ac:dyDescent="0.2">
      <c r="Y844" s="28"/>
      <c r="Z844" s="28"/>
      <c r="AA844" s="28"/>
    </row>
    <row r="845" spans="25:27" x14ac:dyDescent="0.2">
      <c r="Y845" s="28"/>
      <c r="Z845" s="28"/>
      <c r="AA845" s="28"/>
    </row>
    <row r="846" spans="25:27" x14ac:dyDescent="0.2">
      <c r="Y846" s="28"/>
      <c r="Z846" s="28"/>
      <c r="AA846" s="28"/>
    </row>
    <row r="847" spans="25:27" x14ac:dyDescent="0.2">
      <c r="Y847" s="28"/>
      <c r="Z847" s="28"/>
      <c r="AA847" s="28"/>
    </row>
    <row r="848" spans="25:27" x14ac:dyDescent="0.2">
      <c r="Y848" s="28"/>
      <c r="Z848" s="28"/>
      <c r="AA848" s="28"/>
    </row>
    <row r="849" spans="25:27" x14ac:dyDescent="0.2">
      <c r="Y849" s="28"/>
      <c r="Z849" s="28"/>
      <c r="AA849" s="28"/>
    </row>
    <row r="850" spans="25:27" x14ac:dyDescent="0.2">
      <c r="Y850" s="28"/>
      <c r="Z850" s="28"/>
      <c r="AA850" s="28"/>
    </row>
    <row r="851" spans="25:27" x14ac:dyDescent="0.2">
      <c r="Y851" s="28"/>
      <c r="Z851" s="28"/>
      <c r="AA851" s="28"/>
    </row>
    <row r="852" spans="25:27" x14ac:dyDescent="0.2">
      <c r="Y852" s="28"/>
      <c r="Z852" s="28"/>
      <c r="AA852" s="28"/>
    </row>
    <row r="853" spans="25:27" x14ac:dyDescent="0.2">
      <c r="Y853" s="28"/>
      <c r="Z853" s="28"/>
      <c r="AA853" s="28"/>
    </row>
    <row r="854" spans="25:27" x14ac:dyDescent="0.2">
      <c r="Y854" s="28"/>
      <c r="Z854" s="28"/>
      <c r="AA854" s="28"/>
    </row>
    <row r="855" spans="25:27" x14ac:dyDescent="0.2">
      <c r="Y855" s="28"/>
      <c r="Z855" s="28"/>
      <c r="AA855" s="28"/>
    </row>
    <row r="856" spans="25:27" x14ac:dyDescent="0.2">
      <c r="Y856" s="28"/>
      <c r="Z856" s="28"/>
      <c r="AA856" s="28"/>
    </row>
    <row r="857" spans="25:27" x14ac:dyDescent="0.2">
      <c r="Y857" s="28"/>
      <c r="Z857" s="28"/>
      <c r="AA857" s="28"/>
    </row>
    <row r="858" spans="25:27" x14ac:dyDescent="0.2">
      <c r="Y858" s="28"/>
      <c r="Z858" s="28"/>
      <c r="AA858" s="28"/>
    </row>
    <row r="859" spans="25:27" x14ac:dyDescent="0.2">
      <c r="Y859" s="28"/>
      <c r="Z859" s="28"/>
      <c r="AA859" s="28"/>
    </row>
    <row r="860" spans="25:27" x14ac:dyDescent="0.2">
      <c r="Y860" s="28"/>
      <c r="Z860" s="28"/>
      <c r="AA860" s="28"/>
    </row>
    <row r="861" spans="25:27" x14ac:dyDescent="0.2">
      <c r="Y861" s="28"/>
      <c r="Z861" s="28"/>
      <c r="AA861" s="28"/>
    </row>
    <row r="862" spans="25:27" x14ac:dyDescent="0.2">
      <c r="Y862" s="28"/>
      <c r="Z862" s="28"/>
      <c r="AA862" s="28"/>
    </row>
    <row r="863" spans="25:27" x14ac:dyDescent="0.2">
      <c r="Y863" s="28"/>
      <c r="Z863" s="28"/>
      <c r="AA863" s="28"/>
    </row>
    <row r="864" spans="25:27" x14ac:dyDescent="0.2">
      <c r="Y864" s="28"/>
      <c r="Z864" s="28"/>
      <c r="AA864" s="28"/>
    </row>
    <row r="865" spans="25:27" x14ac:dyDescent="0.2">
      <c r="Y865" s="28"/>
      <c r="Z865" s="28"/>
      <c r="AA865" s="28"/>
    </row>
    <row r="866" spans="25:27" x14ac:dyDescent="0.2">
      <c r="Y866" s="28"/>
      <c r="Z866" s="28"/>
      <c r="AA866" s="28"/>
    </row>
    <row r="867" spans="25:27" x14ac:dyDescent="0.2">
      <c r="Y867" s="28"/>
      <c r="Z867" s="28"/>
      <c r="AA867" s="28"/>
    </row>
    <row r="868" spans="25:27" x14ac:dyDescent="0.2">
      <c r="Y868" s="28"/>
      <c r="Z868" s="28"/>
      <c r="AA868" s="28"/>
    </row>
    <row r="869" spans="25:27" x14ac:dyDescent="0.2">
      <c r="Y869" s="28"/>
      <c r="Z869" s="28"/>
      <c r="AA869" s="28"/>
    </row>
    <row r="870" spans="25:27" x14ac:dyDescent="0.2">
      <c r="Y870" s="28"/>
      <c r="Z870" s="28"/>
      <c r="AA870" s="28"/>
    </row>
    <row r="871" spans="25:27" x14ac:dyDescent="0.2">
      <c r="Y871" s="28"/>
      <c r="Z871" s="28"/>
      <c r="AA871" s="28"/>
    </row>
    <row r="872" spans="25:27" x14ac:dyDescent="0.2">
      <c r="Y872" s="28"/>
      <c r="Z872" s="28"/>
      <c r="AA872" s="28"/>
    </row>
    <row r="873" spans="25:27" x14ac:dyDescent="0.2">
      <c r="Y873" s="28"/>
      <c r="Z873" s="28"/>
      <c r="AA873" s="28"/>
    </row>
    <row r="874" spans="25:27" x14ac:dyDescent="0.2">
      <c r="Y874" s="28"/>
      <c r="Z874" s="28"/>
      <c r="AA874" s="28"/>
    </row>
    <row r="875" spans="25:27" x14ac:dyDescent="0.2">
      <c r="Y875" s="28"/>
      <c r="Z875" s="28"/>
      <c r="AA875" s="28"/>
    </row>
    <row r="876" spans="25:27" x14ac:dyDescent="0.2">
      <c r="Y876" s="28"/>
      <c r="Z876" s="28"/>
      <c r="AA876" s="28"/>
    </row>
    <row r="877" spans="25:27" x14ac:dyDescent="0.2">
      <c r="Y877" s="28"/>
      <c r="Z877" s="28"/>
      <c r="AA877" s="28"/>
    </row>
    <row r="878" spans="25:27" x14ac:dyDescent="0.2">
      <c r="Y878" s="28"/>
      <c r="Z878" s="28"/>
      <c r="AA878" s="28"/>
    </row>
    <row r="879" spans="25:27" x14ac:dyDescent="0.2">
      <c r="Y879" s="28"/>
      <c r="Z879" s="28"/>
      <c r="AA879" s="28"/>
    </row>
    <row r="880" spans="25:27" x14ac:dyDescent="0.2">
      <c r="Y880" s="28"/>
      <c r="Z880" s="28"/>
      <c r="AA880" s="28"/>
    </row>
    <row r="881" spans="25:27" x14ac:dyDescent="0.2">
      <c r="Y881" s="28"/>
      <c r="Z881" s="28"/>
      <c r="AA881" s="28"/>
    </row>
    <row r="882" spans="25:27" x14ac:dyDescent="0.2">
      <c r="Y882" s="28"/>
      <c r="Z882" s="28"/>
      <c r="AA882" s="28"/>
    </row>
    <row r="883" spans="25:27" x14ac:dyDescent="0.2">
      <c r="Y883" s="28"/>
      <c r="Z883" s="28"/>
      <c r="AA883" s="28"/>
    </row>
    <row r="884" spans="25:27" x14ac:dyDescent="0.2">
      <c r="Y884" s="28"/>
      <c r="Z884" s="28"/>
      <c r="AA884" s="28"/>
    </row>
    <row r="885" spans="25:27" x14ac:dyDescent="0.2">
      <c r="Y885" s="28"/>
      <c r="Z885" s="28"/>
      <c r="AA885" s="28"/>
    </row>
    <row r="886" spans="25:27" x14ac:dyDescent="0.2">
      <c r="Y886" s="28"/>
      <c r="Z886" s="28"/>
      <c r="AA886" s="28"/>
    </row>
    <row r="887" spans="25:27" x14ac:dyDescent="0.2">
      <c r="Y887" s="28"/>
      <c r="Z887" s="28"/>
      <c r="AA887" s="28"/>
    </row>
    <row r="888" spans="25:27" x14ac:dyDescent="0.2">
      <c r="Y888" s="28"/>
      <c r="Z888" s="28"/>
      <c r="AA888" s="28"/>
    </row>
    <row r="889" spans="25:27" x14ac:dyDescent="0.2">
      <c r="Y889" s="28"/>
      <c r="Z889" s="28"/>
      <c r="AA889" s="28"/>
    </row>
    <row r="890" spans="25:27" x14ac:dyDescent="0.2">
      <c r="Y890" s="28"/>
      <c r="Z890" s="28"/>
      <c r="AA890" s="28"/>
    </row>
    <row r="891" spans="25:27" x14ac:dyDescent="0.2">
      <c r="Y891" s="28"/>
      <c r="Z891" s="28"/>
      <c r="AA891" s="28"/>
    </row>
    <row r="892" spans="25:27" x14ac:dyDescent="0.2">
      <c r="Y892" s="28"/>
      <c r="Z892" s="28"/>
      <c r="AA892" s="28"/>
    </row>
    <row r="893" spans="25:27" x14ac:dyDescent="0.2">
      <c r="Y893" s="28"/>
      <c r="Z893" s="28"/>
      <c r="AA893" s="28"/>
    </row>
    <row r="894" spans="25:27" x14ac:dyDescent="0.2">
      <c r="Y894" s="28"/>
      <c r="Z894" s="28"/>
      <c r="AA894" s="28"/>
    </row>
    <row r="895" spans="25:27" x14ac:dyDescent="0.2">
      <c r="Y895" s="28"/>
      <c r="Z895" s="28"/>
      <c r="AA895" s="28"/>
    </row>
    <row r="896" spans="25:27" x14ac:dyDescent="0.2">
      <c r="Y896" s="28"/>
      <c r="Z896" s="28"/>
      <c r="AA896" s="28"/>
    </row>
    <row r="897" spans="25:27" x14ac:dyDescent="0.2">
      <c r="Y897" s="28"/>
      <c r="Z897" s="28"/>
      <c r="AA897" s="28"/>
    </row>
    <row r="898" spans="25:27" x14ac:dyDescent="0.2">
      <c r="Y898" s="28"/>
      <c r="Z898" s="28"/>
      <c r="AA898" s="28"/>
    </row>
    <row r="899" spans="25:27" x14ac:dyDescent="0.2">
      <c r="Y899" s="28"/>
      <c r="Z899" s="28"/>
      <c r="AA899" s="28"/>
    </row>
    <row r="900" spans="25:27" x14ac:dyDescent="0.2">
      <c r="Y900" s="28"/>
      <c r="Z900" s="28"/>
      <c r="AA900" s="28"/>
    </row>
    <row r="901" spans="25:27" x14ac:dyDescent="0.2">
      <c r="Y901" s="28"/>
      <c r="Z901" s="28"/>
      <c r="AA901" s="28"/>
    </row>
    <row r="902" spans="25:27" x14ac:dyDescent="0.2">
      <c r="Y902" s="28"/>
      <c r="Z902" s="28"/>
      <c r="AA902" s="28"/>
    </row>
    <row r="903" spans="25:27" x14ac:dyDescent="0.2">
      <c r="Y903" s="28"/>
      <c r="Z903" s="28"/>
      <c r="AA903" s="28"/>
    </row>
    <row r="904" spans="25:27" x14ac:dyDescent="0.2">
      <c r="Y904" s="28"/>
      <c r="Z904" s="28"/>
      <c r="AA904" s="28"/>
    </row>
    <row r="905" spans="25:27" x14ac:dyDescent="0.2">
      <c r="Y905" s="28"/>
      <c r="Z905" s="28"/>
      <c r="AA905" s="28"/>
    </row>
    <row r="906" spans="25:27" x14ac:dyDescent="0.2">
      <c r="Y906" s="28"/>
      <c r="Z906" s="28"/>
      <c r="AA906" s="28"/>
    </row>
    <row r="907" spans="25:27" x14ac:dyDescent="0.2">
      <c r="Y907" s="28"/>
      <c r="Z907" s="28"/>
      <c r="AA907" s="28"/>
    </row>
    <row r="908" spans="25:27" x14ac:dyDescent="0.2">
      <c r="Y908" s="28"/>
      <c r="Z908" s="28"/>
      <c r="AA908" s="28"/>
    </row>
    <row r="909" spans="25:27" x14ac:dyDescent="0.2">
      <c r="Y909" s="28"/>
      <c r="Z909" s="28"/>
      <c r="AA909" s="28"/>
    </row>
    <row r="910" spans="25:27" x14ac:dyDescent="0.2">
      <c r="Y910" s="28"/>
      <c r="Z910" s="28"/>
      <c r="AA910" s="28"/>
    </row>
    <row r="911" spans="25:27" x14ac:dyDescent="0.2">
      <c r="Y911" s="28"/>
      <c r="Z911" s="28"/>
      <c r="AA911" s="28"/>
    </row>
    <row r="912" spans="25:27" x14ac:dyDescent="0.2">
      <c r="Y912" s="28"/>
      <c r="Z912" s="28"/>
      <c r="AA912" s="28"/>
    </row>
    <row r="913" spans="25:27" x14ac:dyDescent="0.2">
      <c r="Y913" s="28"/>
      <c r="Z913" s="28"/>
      <c r="AA913" s="28"/>
    </row>
    <row r="914" spans="25:27" x14ac:dyDescent="0.2">
      <c r="Y914" s="28"/>
      <c r="Z914" s="28"/>
      <c r="AA914" s="28"/>
    </row>
    <row r="915" spans="25:27" x14ac:dyDescent="0.2">
      <c r="Y915" s="28"/>
      <c r="Z915" s="28"/>
      <c r="AA915" s="28"/>
    </row>
    <row r="916" spans="25:27" x14ac:dyDescent="0.2">
      <c r="Y916" s="28"/>
      <c r="Z916" s="28"/>
      <c r="AA916" s="28"/>
    </row>
    <row r="917" spans="25:27" x14ac:dyDescent="0.2">
      <c r="Y917" s="28"/>
      <c r="Z917" s="28"/>
      <c r="AA917" s="28"/>
    </row>
    <row r="918" spans="25:27" x14ac:dyDescent="0.2">
      <c r="Y918" s="28"/>
      <c r="Z918" s="28"/>
      <c r="AA918" s="28"/>
    </row>
    <row r="919" spans="25:27" x14ac:dyDescent="0.2">
      <c r="Y919" s="28"/>
      <c r="Z919" s="28"/>
      <c r="AA919" s="28"/>
    </row>
    <row r="920" spans="25:27" x14ac:dyDescent="0.2">
      <c r="Y920" s="28"/>
      <c r="Z920" s="28"/>
      <c r="AA920" s="28"/>
    </row>
    <row r="921" spans="25:27" x14ac:dyDescent="0.2">
      <c r="Y921" s="28"/>
      <c r="Z921" s="28"/>
      <c r="AA921" s="28"/>
    </row>
    <row r="922" spans="25:27" x14ac:dyDescent="0.2">
      <c r="Y922" s="28"/>
      <c r="Z922" s="28"/>
      <c r="AA922" s="28"/>
    </row>
    <row r="923" spans="25:27" x14ac:dyDescent="0.2">
      <c r="Y923" s="28"/>
      <c r="Z923" s="28"/>
      <c r="AA923" s="28"/>
    </row>
    <row r="924" spans="25:27" x14ac:dyDescent="0.2">
      <c r="Y924" s="28"/>
      <c r="Z924" s="28"/>
      <c r="AA924" s="28"/>
    </row>
    <row r="925" spans="25:27" x14ac:dyDescent="0.2">
      <c r="Y925" s="28"/>
      <c r="Z925" s="28"/>
      <c r="AA925" s="28"/>
    </row>
    <row r="926" spans="25:27" x14ac:dyDescent="0.2">
      <c r="Y926" s="28"/>
      <c r="Z926" s="28"/>
      <c r="AA926" s="28"/>
    </row>
    <row r="927" spans="25:27" x14ac:dyDescent="0.2">
      <c r="Y927" s="28"/>
      <c r="Z927" s="28"/>
      <c r="AA927" s="28"/>
    </row>
    <row r="928" spans="25:27" x14ac:dyDescent="0.2">
      <c r="Y928" s="28"/>
      <c r="Z928" s="28"/>
      <c r="AA928" s="28"/>
    </row>
    <row r="929" spans="25:27" x14ac:dyDescent="0.2">
      <c r="Y929" s="28"/>
      <c r="Z929" s="28"/>
      <c r="AA929" s="28"/>
    </row>
    <row r="930" spans="25:27" x14ac:dyDescent="0.2">
      <c r="Y930" s="28"/>
      <c r="Z930" s="28"/>
      <c r="AA930" s="28"/>
    </row>
    <row r="931" spans="25:27" x14ac:dyDescent="0.2">
      <c r="Y931" s="28"/>
      <c r="Z931" s="28"/>
      <c r="AA931" s="28"/>
    </row>
    <row r="932" spans="25:27" x14ac:dyDescent="0.2">
      <c r="Y932" s="28"/>
      <c r="Z932" s="28"/>
      <c r="AA932" s="28"/>
    </row>
    <row r="933" spans="25:27" x14ac:dyDescent="0.2">
      <c r="Y933" s="28"/>
      <c r="Z933" s="28"/>
      <c r="AA933" s="28"/>
    </row>
    <row r="934" spans="25:27" x14ac:dyDescent="0.2">
      <c r="Y934" s="28"/>
      <c r="Z934" s="28"/>
      <c r="AA934" s="28"/>
    </row>
    <row r="935" spans="25:27" x14ac:dyDescent="0.2">
      <c r="Y935" s="28"/>
      <c r="Z935" s="28"/>
      <c r="AA935" s="28"/>
    </row>
    <row r="936" spans="25:27" x14ac:dyDescent="0.2">
      <c r="Y936" s="28"/>
      <c r="Z936" s="28"/>
      <c r="AA936" s="28"/>
    </row>
    <row r="937" spans="25:27" x14ac:dyDescent="0.2">
      <c r="Y937" s="28"/>
      <c r="Z937" s="28"/>
      <c r="AA937" s="28"/>
    </row>
    <row r="938" spans="25:27" x14ac:dyDescent="0.2">
      <c r="Y938" s="28"/>
      <c r="Z938" s="28"/>
      <c r="AA938" s="28"/>
    </row>
    <row r="939" spans="25:27" x14ac:dyDescent="0.2">
      <c r="Y939" s="28"/>
      <c r="Z939" s="28"/>
      <c r="AA939" s="28"/>
    </row>
    <row r="940" spans="25:27" x14ac:dyDescent="0.2">
      <c r="Y940" s="28"/>
      <c r="Z940" s="28"/>
      <c r="AA940" s="28"/>
    </row>
    <row r="941" spans="25:27" x14ac:dyDescent="0.2">
      <c r="Y941" s="28"/>
      <c r="Z941" s="28"/>
      <c r="AA941" s="28"/>
    </row>
    <row r="942" spans="25:27" x14ac:dyDescent="0.2">
      <c r="Y942" s="28"/>
      <c r="Z942" s="28"/>
      <c r="AA942" s="28"/>
    </row>
    <row r="943" spans="25:27" x14ac:dyDescent="0.2">
      <c r="Y943" s="28"/>
      <c r="Z943" s="28"/>
      <c r="AA943" s="28"/>
    </row>
    <row r="944" spans="25:27" x14ac:dyDescent="0.2">
      <c r="Y944" s="28"/>
      <c r="Z944" s="28"/>
      <c r="AA944" s="28"/>
    </row>
    <row r="945" spans="25:27" x14ac:dyDescent="0.2">
      <c r="Y945" s="28"/>
      <c r="Z945" s="28"/>
      <c r="AA945" s="28"/>
    </row>
    <row r="946" spans="25:27" x14ac:dyDescent="0.2">
      <c r="Y946" s="28"/>
      <c r="Z946" s="28"/>
      <c r="AA946" s="28"/>
    </row>
    <row r="947" spans="25:27" x14ac:dyDescent="0.2">
      <c r="Y947" s="28"/>
      <c r="Z947" s="28"/>
      <c r="AA947" s="28"/>
    </row>
    <row r="948" spans="25:27" x14ac:dyDescent="0.2">
      <c r="Y948" s="28"/>
      <c r="Z948" s="28"/>
      <c r="AA948" s="28"/>
    </row>
    <row r="949" spans="25:27" x14ac:dyDescent="0.2">
      <c r="Y949" s="28"/>
      <c r="Z949" s="28"/>
      <c r="AA949" s="28"/>
    </row>
    <row r="950" spans="25:27" x14ac:dyDescent="0.2">
      <c r="Y950" s="28"/>
      <c r="Z950" s="28"/>
      <c r="AA950" s="28"/>
    </row>
    <row r="951" spans="25:27" x14ac:dyDescent="0.2">
      <c r="Y951" s="28"/>
      <c r="Z951" s="28"/>
      <c r="AA951" s="28"/>
    </row>
    <row r="952" spans="25:27" x14ac:dyDescent="0.2">
      <c r="Y952" s="28"/>
      <c r="Z952" s="28"/>
      <c r="AA952" s="28"/>
    </row>
    <row r="953" spans="25:27" x14ac:dyDescent="0.2">
      <c r="Y953" s="28"/>
      <c r="Z953" s="28"/>
      <c r="AA953" s="28"/>
    </row>
    <row r="954" spans="25:27" x14ac:dyDescent="0.2">
      <c r="Y954" s="28"/>
      <c r="Z954" s="28"/>
      <c r="AA954" s="28"/>
    </row>
    <row r="955" spans="25:27" x14ac:dyDescent="0.2">
      <c r="Y955" s="28"/>
      <c r="Z955" s="28"/>
      <c r="AA955" s="28"/>
    </row>
    <row r="956" spans="25:27" x14ac:dyDescent="0.2">
      <c r="Y956" s="28"/>
      <c r="Z956" s="28"/>
      <c r="AA956" s="28"/>
    </row>
    <row r="957" spans="25:27" x14ac:dyDescent="0.2">
      <c r="Y957" s="28"/>
      <c r="Z957" s="28"/>
      <c r="AA957" s="28"/>
    </row>
    <row r="958" spans="25:27" x14ac:dyDescent="0.2">
      <c r="Y958" s="28"/>
      <c r="Z958" s="28"/>
      <c r="AA958" s="28"/>
    </row>
    <row r="959" spans="25:27" x14ac:dyDescent="0.2">
      <c r="Y959" s="28"/>
      <c r="Z959" s="28"/>
      <c r="AA959" s="28"/>
    </row>
    <row r="960" spans="25:27" x14ac:dyDescent="0.2">
      <c r="Y960" s="28"/>
      <c r="Z960" s="28"/>
      <c r="AA960" s="28"/>
    </row>
    <row r="961" spans="25:27" x14ac:dyDescent="0.2">
      <c r="Y961" s="28"/>
      <c r="Z961" s="28"/>
      <c r="AA961" s="28"/>
    </row>
    <row r="962" spans="25:27" x14ac:dyDescent="0.2">
      <c r="Y962" s="28"/>
      <c r="Z962" s="28"/>
      <c r="AA962" s="28"/>
    </row>
    <row r="963" spans="25:27" x14ac:dyDescent="0.2">
      <c r="Y963" s="28"/>
      <c r="Z963" s="28"/>
      <c r="AA963" s="28"/>
    </row>
    <row r="964" spans="25:27" x14ac:dyDescent="0.2">
      <c r="Y964" s="28"/>
      <c r="Z964" s="28"/>
      <c r="AA964" s="28"/>
    </row>
    <row r="965" spans="25:27" x14ac:dyDescent="0.2">
      <c r="Y965" s="28"/>
      <c r="Z965" s="28"/>
      <c r="AA965" s="28"/>
    </row>
    <row r="966" spans="25:27" x14ac:dyDescent="0.2">
      <c r="Y966" s="28"/>
      <c r="Z966" s="28"/>
      <c r="AA966" s="28"/>
    </row>
    <row r="967" spans="25:27" x14ac:dyDescent="0.2">
      <c r="Y967" s="28"/>
      <c r="Z967" s="28"/>
      <c r="AA967" s="28"/>
    </row>
    <row r="968" spans="25:27" x14ac:dyDescent="0.2">
      <c r="Y968" s="28"/>
      <c r="Z968" s="28"/>
      <c r="AA968" s="28"/>
    </row>
    <row r="969" spans="25:27" x14ac:dyDescent="0.2">
      <c r="Y969" s="28"/>
      <c r="Z969" s="28"/>
      <c r="AA969" s="28"/>
    </row>
    <row r="970" spans="25:27" x14ac:dyDescent="0.2">
      <c r="Y970" s="28"/>
      <c r="Z970" s="28"/>
      <c r="AA970" s="28"/>
    </row>
    <row r="971" spans="25:27" x14ac:dyDescent="0.2">
      <c r="Y971" s="28"/>
      <c r="Z971" s="28"/>
      <c r="AA971" s="28"/>
    </row>
    <row r="972" spans="25:27" x14ac:dyDescent="0.2">
      <c r="Y972" s="28"/>
      <c r="Z972" s="28"/>
      <c r="AA972" s="28"/>
    </row>
    <row r="973" spans="25:27" x14ac:dyDescent="0.2">
      <c r="Y973" s="28"/>
      <c r="Z973" s="28"/>
      <c r="AA973" s="28"/>
    </row>
    <row r="974" spans="25:27" x14ac:dyDescent="0.2">
      <c r="Y974" s="28"/>
      <c r="Z974" s="28"/>
      <c r="AA974" s="28"/>
    </row>
    <row r="975" spans="25:27" x14ac:dyDescent="0.2">
      <c r="Y975" s="28"/>
      <c r="Z975" s="28"/>
      <c r="AA975" s="28"/>
    </row>
    <row r="976" spans="25:27" x14ac:dyDescent="0.2">
      <c r="Y976" s="28"/>
      <c r="Z976" s="28"/>
      <c r="AA976" s="28"/>
    </row>
    <row r="977" spans="25:27" x14ac:dyDescent="0.2">
      <c r="Y977" s="28"/>
      <c r="Z977" s="28"/>
      <c r="AA977" s="28"/>
    </row>
    <row r="978" spans="25:27" x14ac:dyDescent="0.2">
      <c r="Y978" s="28"/>
      <c r="Z978" s="28"/>
      <c r="AA978" s="28"/>
    </row>
    <row r="979" spans="25:27" x14ac:dyDescent="0.2">
      <c r="Y979" s="28"/>
      <c r="Z979" s="28"/>
      <c r="AA979" s="28"/>
    </row>
    <row r="980" spans="25:27" x14ac:dyDescent="0.2">
      <c r="Y980" s="28"/>
      <c r="Z980" s="28"/>
      <c r="AA980" s="28"/>
    </row>
    <row r="981" spans="25:27" x14ac:dyDescent="0.2">
      <c r="Y981" s="28"/>
      <c r="Z981" s="28"/>
      <c r="AA981" s="28"/>
    </row>
    <row r="982" spans="25:27" x14ac:dyDescent="0.2">
      <c r="Y982" s="28"/>
      <c r="Z982" s="28"/>
      <c r="AA982" s="28"/>
    </row>
    <row r="983" spans="25:27" x14ac:dyDescent="0.2">
      <c r="Y983" s="28"/>
      <c r="Z983" s="28"/>
      <c r="AA983" s="28"/>
    </row>
    <row r="984" spans="25:27" x14ac:dyDescent="0.2">
      <c r="Y984" s="28"/>
      <c r="Z984" s="28"/>
      <c r="AA984" s="28"/>
    </row>
    <row r="985" spans="25:27" x14ac:dyDescent="0.2">
      <c r="Y985" s="28"/>
      <c r="Z985" s="28"/>
      <c r="AA985" s="28"/>
    </row>
    <row r="986" spans="25:27" x14ac:dyDescent="0.2">
      <c r="Y986" s="28"/>
      <c r="Z986" s="28"/>
      <c r="AA986" s="28"/>
    </row>
    <row r="987" spans="25:27" x14ac:dyDescent="0.2">
      <c r="Y987" s="28"/>
      <c r="Z987" s="28"/>
      <c r="AA987" s="28"/>
    </row>
    <row r="988" spans="25:27" x14ac:dyDescent="0.2">
      <c r="Y988" s="28"/>
      <c r="Z988" s="28"/>
      <c r="AA988" s="28"/>
    </row>
    <row r="989" spans="25:27" x14ac:dyDescent="0.2">
      <c r="Y989" s="28"/>
      <c r="Z989" s="28"/>
      <c r="AA989" s="28"/>
    </row>
    <row r="990" spans="25:27" x14ac:dyDescent="0.2">
      <c r="Y990" s="28"/>
      <c r="Z990" s="28"/>
      <c r="AA990" s="28"/>
    </row>
    <row r="991" spans="25:27" x14ac:dyDescent="0.2">
      <c r="Y991" s="28"/>
      <c r="Z991" s="28"/>
      <c r="AA991" s="28"/>
    </row>
    <row r="992" spans="25:27" x14ac:dyDescent="0.2">
      <c r="Y992" s="28"/>
      <c r="Z992" s="28"/>
      <c r="AA992" s="28"/>
    </row>
    <row r="993" spans="25:27" x14ac:dyDescent="0.2">
      <c r="Y993" s="28"/>
      <c r="Z993" s="28"/>
      <c r="AA993" s="28"/>
    </row>
    <row r="994" spans="25:27" x14ac:dyDescent="0.2">
      <c r="Y994" s="28"/>
      <c r="Z994" s="28"/>
      <c r="AA994" s="28"/>
    </row>
    <row r="995" spans="25:27" x14ac:dyDescent="0.2">
      <c r="Y995" s="28"/>
      <c r="Z995" s="28"/>
      <c r="AA995" s="28"/>
    </row>
    <row r="996" spans="25:27" x14ac:dyDescent="0.2">
      <c r="Y996" s="28"/>
      <c r="Z996" s="28"/>
      <c r="AA996" s="28"/>
    </row>
    <row r="997" spans="25:27" x14ac:dyDescent="0.2">
      <c r="Y997" s="28"/>
      <c r="Z997" s="28"/>
      <c r="AA997" s="28"/>
    </row>
    <row r="998" spans="25:27" x14ac:dyDescent="0.2">
      <c r="Y998" s="28"/>
      <c r="Z998" s="28"/>
      <c r="AA998" s="28"/>
    </row>
    <row r="999" spans="25:27" x14ac:dyDescent="0.2">
      <c r="Y999" s="28"/>
      <c r="Z999" s="28"/>
      <c r="AA999" s="28"/>
    </row>
    <row r="1000" spans="25:27" x14ac:dyDescent="0.2">
      <c r="Y1000" s="28"/>
      <c r="Z1000" s="28"/>
      <c r="AA1000" s="28"/>
    </row>
    <row r="1001" spans="25:27" x14ac:dyDescent="0.2">
      <c r="Y1001" s="28"/>
      <c r="Z1001" s="28"/>
      <c r="AA1001" s="28"/>
    </row>
    <row r="1002" spans="25:27" x14ac:dyDescent="0.2">
      <c r="Y1002" s="28"/>
      <c r="Z1002" s="28"/>
      <c r="AA1002" s="28"/>
    </row>
    <row r="1003" spans="25:27" x14ac:dyDescent="0.2">
      <c r="Y1003" s="28"/>
      <c r="Z1003" s="28"/>
      <c r="AA1003" s="28"/>
    </row>
    <row r="1004" spans="25:27" x14ac:dyDescent="0.2">
      <c r="Y1004" s="28"/>
      <c r="Z1004" s="28"/>
      <c r="AA1004" s="28"/>
    </row>
    <row r="1005" spans="25:27" x14ac:dyDescent="0.2">
      <c r="Y1005" s="28"/>
      <c r="Z1005" s="28"/>
      <c r="AA1005" s="28"/>
    </row>
    <row r="1006" spans="25:27" x14ac:dyDescent="0.2">
      <c r="Y1006" s="28"/>
      <c r="Z1006" s="28"/>
      <c r="AA1006" s="28"/>
    </row>
    <row r="1007" spans="25:27" x14ac:dyDescent="0.2">
      <c r="Y1007" s="28"/>
      <c r="Z1007" s="28"/>
      <c r="AA1007" s="28"/>
    </row>
    <row r="1008" spans="25:27" x14ac:dyDescent="0.2">
      <c r="Y1008" s="28"/>
      <c r="Z1008" s="28"/>
      <c r="AA1008" s="28"/>
    </row>
    <row r="1009" spans="25:27" x14ac:dyDescent="0.2">
      <c r="Y1009" s="28"/>
      <c r="Z1009" s="28"/>
      <c r="AA1009" s="28"/>
    </row>
    <row r="1010" spans="25:27" x14ac:dyDescent="0.2">
      <c r="Y1010" s="28"/>
      <c r="Z1010" s="28"/>
      <c r="AA1010" s="28"/>
    </row>
    <row r="1011" spans="25:27" x14ac:dyDescent="0.2">
      <c r="Y1011" s="28"/>
      <c r="Z1011" s="28"/>
      <c r="AA1011" s="28"/>
    </row>
    <row r="1012" spans="25:27" x14ac:dyDescent="0.2">
      <c r="Y1012" s="28"/>
      <c r="Z1012" s="28"/>
      <c r="AA1012" s="28"/>
    </row>
    <row r="1013" spans="25:27" x14ac:dyDescent="0.2">
      <c r="Y1013" s="28"/>
      <c r="Z1013" s="28"/>
      <c r="AA1013" s="28"/>
    </row>
    <row r="1014" spans="25:27" x14ac:dyDescent="0.2">
      <c r="Y1014" s="28"/>
      <c r="Z1014" s="28"/>
      <c r="AA1014" s="28"/>
    </row>
    <row r="1015" spans="25:27" x14ac:dyDescent="0.2">
      <c r="Y1015" s="28"/>
      <c r="Z1015" s="28"/>
      <c r="AA1015" s="28"/>
    </row>
    <row r="1016" spans="25:27" x14ac:dyDescent="0.2">
      <c r="Y1016" s="28"/>
      <c r="Z1016" s="28"/>
      <c r="AA1016" s="28"/>
    </row>
    <row r="1017" spans="25:27" x14ac:dyDescent="0.2">
      <c r="Y1017" s="28"/>
      <c r="Z1017" s="28"/>
      <c r="AA1017" s="28"/>
    </row>
    <row r="1018" spans="25:27" x14ac:dyDescent="0.2">
      <c r="Y1018" s="28"/>
      <c r="Z1018" s="28"/>
      <c r="AA1018" s="28"/>
    </row>
    <row r="1019" spans="25:27" x14ac:dyDescent="0.2">
      <c r="Y1019" s="28"/>
      <c r="Z1019" s="28"/>
      <c r="AA1019" s="28"/>
    </row>
    <row r="1020" spans="25:27" x14ac:dyDescent="0.2">
      <c r="Y1020" s="28"/>
      <c r="Z1020" s="28"/>
      <c r="AA1020" s="28"/>
    </row>
    <row r="1021" spans="25:27" x14ac:dyDescent="0.2">
      <c r="Y1021" s="28"/>
      <c r="Z1021" s="28"/>
      <c r="AA1021" s="28"/>
    </row>
    <row r="1022" spans="25:27" x14ac:dyDescent="0.2">
      <c r="Y1022" s="28"/>
      <c r="Z1022" s="28"/>
      <c r="AA1022" s="28"/>
    </row>
    <row r="1023" spans="25:27" x14ac:dyDescent="0.2">
      <c r="Y1023" s="28"/>
      <c r="Z1023" s="28"/>
      <c r="AA1023" s="28"/>
    </row>
    <row r="1024" spans="25:27" x14ac:dyDescent="0.2">
      <c r="Y1024" s="28"/>
      <c r="Z1024" s="28"/>
      <c r="AA1024" s="28"/>
    </row>
    <row r="1025" spans="25:27" x14ac:dyDescent="0.2">
      <c r="Y1025" s="28"/>
      <c r="Z1025" s="28"/>
      <c r="AA1025" s="28"/>
    </row>
    <row r="1026" spans="25:27" x14ac:dyDescent="0.2">
      <c r="Y1026" s="28"/>
      <c r="Z1026" s="28"/>
      <c r="AA1026" s="28"/>
    </row>
    <row r="1027" spans="25:27" x14ac:dyDescent="0.2">
      <c r="Y1027" s="28"/>
      <c r="Z1027" s="28"/>
      <c r="AA1027" s="28"/>
    </row>
    <row r="1028" spans="25:27" x14ac:dyDescent="0.2">
      <c r="Y1028" s="28"/>
      <c r="Z1028" s="28"/>
      <c r="AA1028" s="28"/>
    </row>
    <row r="1029" spans="25:27" x14ac:dyDescent="0.2">
      <c r="Y1029" s="28"/>
      <c r="Z1029" s="28"/>
      <c r="AA1029" s="28"/>
    </row>
    <row r="1030" spans="25:27" x14ac:dyDescent="0.2">
      <c r="Y1030" s="28"/>
      <c r="Z1030" s="28"/>
      <c r="AA1030" s="28"/>
    </row>
    <row r="1031" spans="25:27" x14ac:dyDescent="0.2">
      <c r="Y1031" s="28"/>
      <c r="Z1031" s="28"/>
      <c r="AA1031" s="28"/>
    </row>
    <row r="1032" spans="25:27" x14ac:dyDescent="0.2">
      <c r="Y1032" s="28"/>
      <c r="Z1032" s="28"/>
      <c r="AA1032" s="28"/>
    </row>
    <row r="1033" spans="25:27" x14ac:dyDescent="0.2">
      <c r="Y1033" s="28"/>
      <c r="Z1033" s="28"/>
      <c r="AA1033" s="28"/>
    </row>
    <row r="1034" spans="25:27" x14ac:dyDescent="0.2">
      <c r="Y1034" s="28"/>
      <c r="Z1034" s="28"/>
      <c r="AA1034" s="28"/>
    </row>
    <row r="1035" spans="25:27" x14ac:dyDescent="0.2">
      <c r="Y1035" s="28"/>
      <c r="Z1035" s="28"/>
      <c r="AA1035" s="28"/>
    </row>
    <row r="1036" spans="25:27" x14ac:dyDescent="0.2">
      <c r="Y1036" s="28"/>
      <c r="Z1036" s="28"/>
      <c r="AA1036" s="28"/>
    </row>
    <row r="1037" spans="25:27" x14ac:dyDescent="0.2">
      <c r="Y1037" s="28"/>
      <c r="Z1037" s="28"/>
      <c r="AA1037" s="28"/>
    </row>
    <row r="1038" spans="25:27" x14ac:dyDescent="0.2">
      <c r="Y1038" s="28"/>
      <c r="Z1038" s="28"/>
      <c r="AA1038" s="28"/>
    </row>
    <row r="1039" spans="25:27" x14ac:dyDescent="0.2">
      <c r="Y1039" s="28"/>
      <c r="Z1039" s="28"/>
      <c r="AA1039" s="28"/>
    </row>
    <row r="1040" spans="25:27" x14ac:dyDescent="0.2">
      <c r="Y1040" s="28"/>
      <c r="Z1040" s="28"/>
      <c r="AA1040" s="28"/>
    </row>
    <row r="1041" spans="25:27" x14ac:dyDescent="0.2">
      <c r="Y1041" s="28"/>
      <c r="Z1041" s="28"/>
      <c r="AA1041" s="28"/>
    </row>
    <row r="1042" spans="25:27" x14ac:dyDescent="0.2">
      <c r="Y1042" s="28"/>
      <c r="Z1042" s="28"/>
      <c r="AA1042" s="28"/>
    </row>
    <row r="1043" spans="25:27" x14ac:dyDescent="0.2">
      <c r="Y1043" s="28"/>
      <c r="Z1043" s="28"/>
      <c r="AA1043" s="28"/>
    </row>
    <row r="1044" spans="25:27" x14ac:dyDescent="0.2">
      <c r="Y1044" s="28"/>
      <c r="Z1044" s="28"/>
      <c r="AA1044" s="28"/>
    </row>
    <row r="1045" spans="25:27" x14ac:dyDescent="0.2">
      <c r="Y1045" s="28"/>
      <c r="Z1045" s="28"/>
      <c r="AA1045" s="28"/>
    </row>
    <row r="1046" spans="25:27" x14ac:dyDescent="0.2">
      <c r="Y1046" s="28"/>
      <c r="Z1046" s="28"/>
      <c r="AA1046" s="28"/>
    </row>
    <row r="1047" spans="25:27" x14ac:dyDescent="0.2">
      <c r="Y1047" s="28"/>
      <c r="Z1047" s="28"/>
      <c r="AA1047" s="28"/>
    </row>
    <row r="1048" spans="25:27" x14ac:dyDescent="0.2">
      <c r="Y1048" s="28"/>
      <c r="Z1048" s="28"/>
      <c r="AA1048" s="28"/>
    </row>
    <row r="1049" spans="25:27" x14ac:dyDescent="0.2">
      <c r="Y1049" s="28"/>
      <c r="Z1049" s="28"/>
      <c r="AA1049" s="28"/>
    </row>
    <row r="1050" spans="25:27" x14ac:dyDescent="0.2">
      <c r="Y1050" s="28"/>
      <c r="Z1050" s="28"/>
      <c r="AA1050" s="28"/>
    </row>
    <row r="1051" spans="25:27" x14ac:dyDescent="0.2">
      <c r="Y1051" s="28"/>
      <c r="Z1051" s="28"/>
      <c r="AA1051" s="28"/>
    </row>
    <row r="1052" spans="25:27" x14ac:dyDescent="0.2">
      <c r="Y1052" s="28"/>
      <c r="Z1052" s="28"/>
      <c r="AA1052" s="28"/>
    </row>
    <row r="1053" spans="25:27" x14ac:dyDescent="0.2">
      <c r="Y1053" s="28"/>
      <c r="Z1053" s="28"/>
      <c r="AA1053" s="28"/>
    </row>
    <row r="1054" spans="25:27" x14ac:dyDescent="0.2">
      <c r="Y1054" s="28"/>
      <c r="Z1054" s="28"/>
      <c r="AA1054" s="28"/>
    </row>
    <row r="1055" spans="25:27" x14ac:dyDescent="0.2">
      <c r="Y1055" s="28"/>
      <c r="Z1055" s="28"/>
      <c r="AA1055" s="28"/>
    </row>
    <row r="1056" spans="25:27" x14ac:dyDescent="0.2">
      <c r="Y1056" s="28"/>
      <c r="Z1056" s="28"/>
      <c r="AA1056" s="28"/>
    </row>
    <row r="1057" spans="25:27" x14ac:dyDescent="0.2">
      <c r="Y1057" s="28"/>
      <c r="Z1057" s="28"/>
      <c r="AA1057" s="28"/>
    </row>
    <row r="1058" spans="25:27" x14ac:dyDescent="0.2">
      <c r="Y1058" s="28"/>
      <c r="Z1058" s="28"/>
      <c r="AA1058" s="28"/>
    </row>
    <row r="1059" spans="25:27" x14ac:dyDescent="0.2">
      <c r="Y1059" s="28"/>
      <c r="Z1059" s="28"/>
      <c r="AA1059" s="28"/>
    </row>
    <row r="1060" spans="25:27" x14ac:dyDescent="0.2">
      <c r="Y1060" s="28"/>
      <c r="Z1060" s="28"/>
      <c r="AA1060" s="28"/>
    </row>
    <row r="1061" spans="25:27" x14ac:dyDescent="0.2">
      <c r="Y1061" s="28"/>
      <c r="Z1061" s="28"/>
      <c r="AA1061" s="28"/>
    </row>
    <row r="1062" spans="25:27" x14ac:dyDescent="0.2">
      <c r="Y1062" s="28"/>
      <c r="Z1062" s="28"/>
      <c r="AA1062" s="28"/>
    </row>
    <row r="1063" spans="25:27" x14ac:dyDescent="0.2">
      <c r="Y1063" s="28"/>
      <c r="Z1063" s="28"/>
      <c r="AA1063" s="28"/>
    </row>
    <row r="1064" spans="25:27" x14ac:dyDescent="0.2">
      <c r="Y1064" s="28"/>
      <c r="Z1064" s="28"/>
      <c r="AA1064" s="28"/>
    </row>
    <row r="1065" spans="25:27" x14ac:dyDescent="0.2">
      <c r="Y1065" s="28"/>
      <c r="Z1065" s="28"/>
      <c r="AA1065" s="28"/>
    </row>
    <row r="1066" spans="25:27" x14ac:dyDescent="0.2">
      <c r="Y1066" s="28"/>
      <c r="Z1066" s="28"/>
      <c r="AA1066" s="28"/>
    </row>
    <row r="1067" spans="25:27" x14ac:dyDescent="0.2">
      <c r="Y1067" s="28"/>
      <c r="Z1067" s="28"/>
      <c r="AA1067" s="28"/>
    </row>
    <row r="1068" spans="25:27" x14ac:dyDescent="0.2">
      <c r="Y1068" s="28"/>
      <c r="Z1068" s="28"/>
      <c r="AA1068" s="28"/>
    </row>
    <row r="1069" spans="25:27" x14ac:dyDescent="0.2">
      <c r="Y1069" s="28"/>
      <c r="Z1069" s="28"/>
      <c r="AA1069" s="28"/>
    </row>
    <row r="1070" spans="25:27" x14ac:dyDescent="0.2">
      <c r="Y1070" s="28"/>
      <c r="Z1070" s="28"/>
      <c r="AA1070" s="28"/>
    </row>
    <row r="1071" spans="25:27" x14ac:dyDescent="0.2">
      <c r="Y1071" s="28"/>
      <c r="Z1071" s="28"/>
      <c r="AA1071" s="28"/>
    </row>
    <row r="1072" spans="25:27" x14ac:dyDescent="0.2">
      <c r="Y1072" s="28"/>
      <c r="Z1072" s="28"/>
      <c r="AA1072" s="28"/>
    </row>
    <row r="1073" spans="25:27" x14ac:dyDescent="0.2">
      <c r="Y1073" s="28"/>
      <c r="Z1073" s="28"/>
      <c r="AA1073" s="28"/>
    </row>
    <row r="1074" spans="25:27" x14ac:dyDescent="0.2">
      <c r="Y1074" s="28"/>
      <c r="Z1074" s="28"/>
      <c r="AA1074" s="28"/>
    </row>
    <row r="1075" spans="25:27" x14ac:dyDescent="0.2">
      <c r="Y1075" s="28"/>
      <c r="Z1075" s="28"/>
      <c r="AA1075" s="28"/>
    </row>
    <row r="1076" spans="25:27" x14ac:dyDescent="0.2">
      <c r="Y1076" s="28"/>
      <c r="Z1076" s="28"/>
      <c r="AA1076" s="28"/>
    </row>
    <row r="1077" spans="25:27" x14ac:dyDescent="0.2">
      <c r="Y1077" s="28"/>
      <c r="Z1077" s="28"/>
      <c r="AA1077" s="28"/>
    </row>
    <row r="1078" spans="25:27" x14ac:dyDescent="0.2">
      <c r="Y1078" s="28"/>
      <c r="Z1078" s="28"/>
      <c r="AA1078" s="28"/>
    </row>
    <row r="1079" spans="25:27" x14ac:dyDescent="0.2">
      <c r="Y1079" s="28"/>
      <c r="Z1079" s="28"/>
      <c r="AA1079" s="28"/>
    </row>
    <row r="1080" spans="25:27" x14ac:dyDescent="0.2">
      <c r="Y1080" s="28"/>
      <c r="Z1080" s="28"/>
      <c r="AA1080" s="28"/>
    </row>
    <row r="1081" spans="25:27" x14ac:dyDescent="0.2">
      <c r="Y1081" s="28"/>
      <c r="Z1081" s="28"/>
      <c r="AA1081" s="28"/>
    </row>
    <row r="1082" spans="25:27" x14ac:dyDescent="0.2">
      <c r="Y1082" s="28"/>
      <c r="Z1082" s="28"/>
      <c r="AA1082" s="28"/>
    </row>
    <row r="1083" spans="25:27" x14ac:dyDescent="0.2">
      <c r="Y1083" s="28"/>
      <c r="Z1083" s="28"/>
      <c r="AA1083" s="28"/>
    </row>
    <row r="1084" spans="25:27" x14ac:dyDescent="0.2">
      <c r="Y1084" s="28"/>
      <c r="Z1084" s="28"/>
      <c r="AA1084" s="28"/>
    </row>
    <row r="1085" spans="25:27" x14ac:dyDescent="0.2">
      <c r="Y1085" s="28"/>
      <c r="Z1085" s="28"/>
      <c r="AA1085" s="28"/>
    </row>
    <row r="1086" spans="25:27" x14ac:dyDescent="0.2">
      <c r="Y1086" s="28"/>
      <c r="Z1086" s="28"/>
      <c r="AA1086" s="28"/>
    </row>
    <row r="1087" spans="25:27" x14ac:dyDescent="0.2">
      <c r="Y1087" s="28"/>
      <c r="Z1087" s="28"/>
      <c r="AA1087" s="28"/>
    </row>
    <row r="1088" spans="25:27" x14ac:dyDescent="0.2">
      <c r="Y1088" s="28"/>
      <c r="Z1088" s="28"/>
      <c r="AA1088" s="28"/>
    </row>
    <row r="1089" spans="25:27" x14ac:dyDescent="0.2">
      <c r="Y1089" s="28"/>
      <c r="Z1089" s="28"/>
      <c r="AA1089" s="28"/>
    </row>
    <row r="1090" spans="25:27" x14ac:dyDescent="0.2">
      <c r="Y1090" s="28"/>
      <c r="Z1090" s="28"/>
      <c r="AA1090" s="28"/>
    </row>
    <row r="1091" spans="25:27" x14ac:dyDescent="0.2">
      <c r="Y1091" s="28"/>
      <c r="Z1091" s="28"/>
      <c r="AA1091" s="28"/>
    </row>
    <row r="1092" spans="25:27" x14ac:dyDescent="0.2">
      <c r="Y1092" s="28"/>
      <c r="Z1092" s="28"/>
      <c r="AA1092" s="28"/>
    </row>
    <row r="1093" spans="25:27" x14ac:dyDescent="0.2">
      <c r="Y1093" s="28"/>
      <c r="Z1093" s="28"/>
      <c r="AA1093" s="28"/>
    </row>
    <row r="1094" spans="25:27" x14ac:dyDescent="0.2">
      <c r="Y1094" s="28"/>
      <c r="Z1094" s="28"/>
      <c r="AA1094" s="28"/>
    </row>
    <row r="1095" spans="25:27" x14ac:dyDescent="0.2">
      <c r="Y1095" s="28"/>
      <c r="Z1095" s="28"/>
      <c r="AA1095" s="28"/>
    </row>
    <row r="1096" spans="25:27" x14ac:dyDescent="0.2">
      <c r="Y1096" s="28"/>
      <c r="Z1096" s="28"/>
      <c r="AA1096" s="28"/>
    </row>
    <row r="1097" spans="25:27" x14ac:dyDescent="0.2">
      <c r="Y1097" s="28"/>
      <c r="Z1097" s="28"/>
      <c r="AA1097" s="28"/>
    </row>
    <row r="1098" spans="25:27" x14ac:dyDescent="0.2">
      <c r="Y1098" s="28"/>
      <c r="Z1098" s="28"/>
      <c r="AA1098" s="28"/>
    </row>
    <row r="1099" spans="25:27" x14ac:dyDescent="0.2">
      <c r="Y1099" s="28"/>
      <c r="Z1099" s="28"/>
      <c r="AA1099" s="28"/>
    </row>
    <row r="1100" spans="25:27" x14ac:dyDescent="0.2">
      <c r="Y1100" s="28"/>
      <c r="Z1100" s="28"/>
      <c r="AA1100" s="28"/>
    </row>
    <row r="1101" spans="25:27" x14ac:dyDescent="0.2">
      <c r="Y1101" s="28"/>
      <c r="Z1101" s="28"/>
      <c r="AA1101" s="28"/>
    </row>
    <row r="1102" spans="25:27" x14ac:dyDescent="0.2">
      <c r="Y1102" s="28"/>
      <c r="Z1102" s="28"/>
      <c r="AA1102" s="28"/>
    </row>
    <row r="1103" spans="25:27" x14ac:dyDescent="0.2">
      <c r="Y1103" s="28"/>
      <c r="Z1103" s="28"/>
      <c r="AA1103" s="28"/>
    </row>
    <row r="1104" spans="25:27" x14ac:dyDescent="0.2">
      <c r="Y1104" s="28"/>
      <c r="Z1104" s="28"/>
      <c r="AA1104" s="28"/>
    </row>
    <row r="1105" spans="25:27" x14ac:dyDescent="0.2">
      <c r="Y1105" s="28"/>
      <c r="Z1105" s="28"/>
      <c r="AA1105" s="28"/>
    </row>
    <row r="1106" spans="25:27" x14ac:dyDescent="0.2">
      <c r="Y1106" s="28"/>
      <c r="Z1106" s="28"/>
      <c r="AA1106" s="28"/>
    </row>
    <row r="1107" spans="25:27" x14ac:dyDescent="0.2">
      <c r="Y1107" s="28"/>
      <c r="Z1107" s="28"/>
      <c r="AA1107" s="28"/>
    </row>
    <row r="1108" spans="25:27" x14ac:dyDescent="0.2">
      <c r="Y1108" s="28"/>
      <c r="Z1108" s="28"/>
      <c r="AA1108" s="28"/>
    </row>
    <row r="1109" spans="25:27" x14ac:dyDescent="0.2">
      <c r="Y1109" s="28"/>
      <c r="Z1109" s="28"/>
      <c r="AA1109" s="28"/>
    </row>
    <row r="1110" spans="25:27" x14ac:dyDescent="0.2">
      <c r="Y1110" s="28"/>
      <c r="Z1110" s="28"/>
      <c r="AA1110" s="28"/>
    </row>
    <row r="1111" spans="25:27" x14ac:dyDescent="0.2">
      <c r="Y1111" s="28"/>
      <c r="Z1111" s="28"/>
      <c r="AA1111" s="28"/>
    </row>
    <row r="1112" spans="25:27" x14ac:dyDescent="0.2">
      <c r="Y1112" s="28"/>
      <c r="Z1112" s="28"/>
      <c r="AA1112" s="28"/>
    </row>
    <row r="1113" spans="25:27" x14ac:dyDescent="0.2">
      <c r="Y1113" s="28"/>
      <c r="Z1113" s="28"/>
      <c r="AA1113" s="28"/>
    </row>
    <row r="1114" spans="25:27" x14ac:dyDescent="0.2">
      <c r="Y1114" s="28"/>
      <c r="Z1114" s="28"/>
      <c r="AA1114" s="28"/>
    </row>
    <row r="1115" spans="25:27" x14ac:dyDescent="0.2">
      <c r="Y1115" s="28"/>
      <c r="Z1115" s="28"/>
      <c r="AA1115" s="28"/>
    </row>
    <row r="1116" spans="25:27" x14ac:dyDescent="0.2">
      <c r="Y1116" s="28"/>
      <c r="Z1116" s="28"/>
      <c r="AA1116" s="28"/>
    </row>
    <row r="1117" spans="25:27" x14ac:dyDescent="0.2">
      <c r="Y1117" s="28"/>
      <c r="Z1117" s="28"/>
      <c r="AA1117" s="28"/>
    </row>
    <row r="1118" spans="25:27" x14ac:dyDescent="0.2">
      <c r="Y1118" s="28"/>
      <c r="Z1118" s="28"/>
      <c r="AA1118" s="28"/>
    </row>
    <row r="1119" spans="25:27" x14ac:dyDescent="0.2">
      <c r="Y1119" s="28"/>
      <c r="Z1119" s="28"/>
      <c r="AA1119" s="28"/>
    </row>
    <row r="1120" spans="25:27" x14ac:dyDescent="0.2">
      <c r="Y1120" s="28"/>
      <c r="Z1120" s="28"/>
      <c r="AA1120" s="28"/>
    </row>
    <row r="1121" spans="25:27" x14ac:dyDescent="0.2">
      <c r="Y1121" s="28"/>
      <c r="Z1121" s="28"/>
      <c r="AA1121" s="28"/>
    </row>
    <row r="1122" spans="25:27" x14ac:dyDescent="0.2">
      <c r="Y1122" s="28"/>
      <c r="Z1122" s="28"/>
      <c r="AA1122" s="28"/>
    </row>
    <row r="1123" spans="25:27" x14ac:dyDescent="0.2">
      <c r="Y1123" s="28"/>
      <c r="Z1123" s="28"/>
      <c r="AA1123" s="28"/>
    </row>
    <row r="1124" spans="25:27" x14ac:dyDescent="0.2">
      <c r="Y1124" s="28"/>
      <c r="Z1124" s="28"/>
      <c r="AA1124" s="28"/>
    </row>
    <row r="1125" spans="25:27" x14ac:dyDescent="0.2">
      <c r="Y1125" s="28"/>
      <c r="Z1125" s="28"/>
      <c r="AA1125" s="28"/>
    </row>
    <row r="1126" spans="25:27" x14ac:dyDescent="0.2">
      <c r="Y1126" s="28"/>
      <c r="Z1126" s="28"/>
      <c r="AA1126" s="28"/>
    </row>
    <row r="1127" spans="25:27" x14ac:dyDescent="0.2">
      <c r="Y1127" s="28"/>
      <c r="Z1127" s="28"/>
      <c r="AA1127" s="28"/>
    </row>
    <row r="1128" spans="25:27" x14ac:dyDescent="0.2">
      <c r="Y1128" s="28"/>
      <c r="Z1128" s="28"/>
      <c r="AA1128" s="28"/>
    </row>
    <row r="1129" spans="25:27" x14ac:dyDescent="0.2">
      <c r="Y1129" s="28"/>
      <c r="Z1129" s="28"/>
      <c r="AA1129" s="28"/>
    </row>
    <row r="1130" spans="25:27" x14ac:dyDescent="0.2">
      <c r="Y1130" s="28"/>
      <c r="Z1130" s="28"/>
      <c r="AA1130" s="28"/>
    </row>
    <row r="1131" spans="25:27" x14ac:dyDescent="0.2">
      <c r="Y1131" s="28"/>
      <c r="Z1131" s="28"/>
      <c r="AA1131" s="28"/>
    </row>
    <row r="1132" spans="25:27" x14ac:dyDescent="0.2">
      <c r="Y1132" s="28"/>
      <c r="Z1132" s="28"/>
      <c r="AA1132" s="28"/>
    </row>
    <row r="1133" spans="25:27" x14ac:dyDescent="0.2">
      <c r="Y1133" s="28"/>
      <c r="Z1133" s="28"/>
      <c r="AA1133" s="28"/>
    </row>
    <row r="1134" spans="25:27" x14ac:dyDescent="0.2">
      <c r="Y1134" s="28"/>
      <c r="Z1134" s="28"/>
      <c r="AA1134" s="28"/>
    </row>
    <row r="1135" spans="25:27" x14ac:dyDescent="0.2">
      <c r="Y1135" s="28"/>
      <c r="Z1135" s="28"/>
      <c r="AA1135" s="28"/>
    </row>
    <row r="1136" spans="25:27" x14ac:dyDescent="0.2">
      <c r="Y1136" s="28"/>
      <c r="Z1136" s="28"/>
      <c r="AA1136" s="28"/>
    </row>
    <row r="1137" spans="25:27" x14ac:dyDescent="0.2">
      <c r="Y1137" s="28"/>
      <c r="Z1137" s="28"/>
      <c r="AA1137" s="28"/>
    </row>
    <row r="1138" spans="25:27" x14ac:dyDescent="0.2">
      <c r="Y1138" s="28"/>
      <c r="Z1138" s="28"/>
      <c r="AA1138" s="28"/>
    </row>
    <row r="1139" spans="25:27" x14ac:dyDescent="0.2">
      <c r="Y1139" s="28"/>
      <c r="Z1139" s="28"/>
      <c r="AA1139" s="28"/>
    </row>
    <row r="1140" spans="25:27" x14ac:dyDescent="0.2">
      <c r="Y1140" s="28"/>
      <c r="Z1140" s="28"/>
      <c r="AA1140" s="28"/>
    </row>
    <row r="1141" spans="25:27" x14ac:dyDescent="0.2">
      <c r="Y1141" s="28"/>
      <c r="Z1141" s="28"/>
      <c r="AA1141" s="28"/>
    </row>
    <row r="1142" spans="25:27" x14ac:dyDescent="0.2">
      <c r="Y1142" s="28"/>
      <c r="Z1142" s="28"/>
      <c r="AA1142" s="28"/>
    </row>
    <row r="1143" spans="25:27" x14ac:dyDescent="0.2">
      <c r="Y1143" s="28"/>
      <c r="Z1143" s="28"/>
      <c r="AA1143" s="28"/>
    </row>
    <row r="1144" spans="25:27" x14ac:dyDescent="0.2">
      <c r="Y1144" s="28"/>
      <c r="Z1144" s="28"/>
      <c r="AA1144" s="28"/>
    </row>
    <row r="1145" spans="25:27" x14ac:dyDescent="0.2">
      <c r="Y1145" s="28"/>
      <c r="Z1145" s="28"/>
      <c r="AA1145" s="28"/>
    </row>
    <row r="1146" spans="25:27" x14ac:dyDescent="0.2">
      <c r="Y1146" s="28"/>
      <c r="Z1146" s="28"/>
      <c r="AA1146" s="28"/>
    </row>
    <row r="1147" spans="25:27" x14ac:dyDescent="0.2">
      <c r="Y1147" s="28"/>
      <c r="Z1147" s="28"/>
      <c r="AA1147" s="28"/>
    </row>
    <row r="1148" spans="25:27" x14ac:dyDescent="0.2">
      <c r="Y1148" s="28"/>
      <c r="Z1148" s="28"/>
      <c r="AA1148" s="28"/>
    </row>
    <row r="1149" spans="25:27" x14ac:dyDescent="0.2">
      <c r="Y1149" s="28"/>
      <c r="Z1149" s="28"/>
      <c r="AA1149" s="28"/>
    </row>
    <row r="1150" spans="25:27" x14ac:dyDescent="0.2">
      <c r="Y1150" s="28"/>
      <c r="Z1150" s="28"/>
      <c r="AA1150" s="28"/>
    </row>
    <row r="1151" spans="25:27" x14ac:dyDescent="0.2">
      <c r="Y1151" s="28"/>
      <c r="Z1151" s="28"/>
      <c r="AA1151" s="28"/>
    </row>
    <row r="1152" spans="25:27" x14ac:dyDescent="0.2">
      <c r="Y1152" s="28"/>
      <c r="Z1152" s="28"/>
      <c r="AA1152" s="28"/>
    </row>
    <row r="1153" spans="25:27" x14ac:dyDescent="0.2">
      <c r="Y1153" s="28"/>
      <c r="Z1153" s="28"/>
      <c r="AA1153" s="28"/>
    </row>
    <row r="1154" spans="25:27" x14ac:dyDescent="0.2">
      <c r="Y1154" s="28"/>
      <c r="Z1154" s="28"/>
      <c r="AA1154" s="28"/>
    </row>
    <row r="1155" spans="25:27" x14ac:dyDescent="0.2">
      <c r="Y1155" s="28"/>
      <c r="Z1155" s="28"/>
      <c r="AA1155" s="28"/>
    </row>
    <row r="1156" spans="25:27" x14ac:dyDescent="0.2">
      <c r="Y1156" s="28"/>
      <c r="Z1156" s="28"/>
      <c r="AA1156" s="28"/>
    </row>
    <row r="1157" spans="25:27" x14ac:dyDescent="0.2">
      <c r="Y1157" s="28"/>
      <c r="Z1157" s="28"/>
      <c r="AA1157" s="28"/>
    </row>
    <row r="1158" spans="25:27" x14ac:dyDescent="0.2">
      <c r="Y1158" s="28"/>
      <c r="Z1158" s="28"/>
      <c r="AA1158" s="28"/>
    </row>
    <row r="1159" spans="25:27" x14ac:dyDescent="0.2">
      <c r="Y1159" s="28"/>
      <c r="Z1159" s="28"/>
      <c r="AA1159" s="28"/>
    </row>
    <row r="1160" spans="25:27" x14ac:dyDescent="0.2">
      <c r="Y1160" s="28"/>
      <c r="Z1160" s="28"/>
      <c r="AA1160" s="28"/>
    </row>
    <row r="1161" spans="25:27" x14ac:dyDescent="0.2">
      <c r="Y1161" s="28"/>
      <c r="Z1161" s="28"/>
      <c r="AA1161" s="28"/>
    </row>
    <row r="1162" spans="25:27" x14ac:dyDescent="0.2">
      <c r="Y1162" s="28"/>
      <c r="Z1162" s="28"/>
      <c r="AA1162" s="28"/>
    </row>
    <row r="1163" spans="25:27" x14ac:dyDescent="0.2">
      <c r="Y1163" s="28"/>
      <c r="Z1163" s="28"/>
      <c r="AA1163" s="28"/>
    </row>
    <row r="1164" spans="25:27" x14ac:dyDescent="0.2">
      <c r="Y1164" s="28"/>
      <c r="Z1164" s="28"/>
      <c r="AA1164" s="28"/>
    </row>
    <row r="1165" spans="25:27" x14ac:dyDescent="0.2">
      <c r="Y1165" s="28"/>
      <c r="Z1165" s="28"/>
      <c r="AA1165" s="28"/>
    </row>
    <row r="1166" spans="25:27" x14ac:dyDescent="0.2">
      <c r="Y1166" s="28"/>
      <c r="Z1166" s="28"/>
      <c r="AA1166" s="28"/>
    </row>
    <row r="1167" spans="25:27" x14ac:dyDescent="0.2">
      <c r="Y1167" s="28"/>
      <c r="Z1167" s="28"/>
      <c r="AA1167" s="28"/>
    </row>
    <row r="1168" spans="25:27" x14ac:dyDescent="0.2">
      <c r="Y1168" s="28"/>
      <c r="Z1168" s="28"/>
      <c r="AA1168" s="28"/>
    </row>
    <row r="1169" spans="25:27" x14ac:dyDescent="0.2">
      <c r="Y1169" s="28"/>
      <c r="Z1169" s="28"/>
      <c r="AA1169" s="28"/>
    </row>
    <row r="1170" spans="25:27" x14ac:dyDescent="0.2">
      <c r="Y1170" s="28"/>
      <c r="Z1170" s="28"/>
      <c r="AA1170" s="28"/>
    </row>
    <row r="1171" spans="25:27" x14ac:dyDescent="0.2">
      <c r="Y1171" s="28"/>
      <c r="Z1171" s="28"/>
      <c r="AA1171" s="28"/>
    </row>
    <row r="1172" spans="25:27" x14ac:dyDescent="0.2">
      <c r="Y1172" s="28"/>
      <c r="Z1172" s="28"/>
      <c r="AA1172" s="28"/>
    </row>
    <row r="1173" spans="25:27" x14ac:dyDescent="0.2">
      <c r="Y1173" s="28"/>
      <c r="Z1173" s="28"/>
      <c r="AA1173" s="28"/>
    </row>
    <row r="1174" spans="25:27" x14ac:dyDescent="0.2">
      <c r="Y1174" s="28"/>
      <c r="Z1174" s="28"/>
      <c r="AA1174" s="28"/>
    </row>
    <row r="1175" spans="25:27" x14ac:dyDescent="0.2">
      <c r="Y1175" s="28"/>
      <c r="Z1175" s="28"/>
      <c r="AA1175" s="28"/>
    </row>
    <row r="1176" spans="25:27" x14ac:dyDescent="0.2">
      <c r="Y1176" s="28"/>
      <c r="Z1176" s="28"/>
      <c r="AA1176" s="28"/>
    </row>
    <row r="1177" spans="25:27" x14ac:dyDescent="0.2">
      <c r="Y1177" s="28"/>
      <c r="Z1177" s="28"/>
      <c r="AA1177" s="28"/>
    </row>
    <row r="1178" spans="25:27" x14ac:dyDescent="0.2">
      <c r="Y1178" s="28"/>
      <c r="Z1178" s="28"/>
      <c r="AA1178" s="28"/>
    </row>
    <row r="1179" spans="25:27" x14ac:dyDescent="0.2">
      <c r="Y1179" s="28"/>
      <c r="Z1179" s="28"/>
      <c r="AA1179" s="28"/>
    </row>
    <row r="1180" spans="25:27" x14ac:dyDescent="0.2">
      <c r="Y1180" s="28"/>
      <c r="Z1180" s="28"/>
      <c r="AA1180" s="28"/>
    </row>
    <row r="1181" spans="25:27" x14ac:dyDescent="0.2">
      <c r="Y1181" s="28"/>
      <c r="Z1181" s="28"/>
      <c r="AA1181" s="28"/>
    </row>
    <row r="1182" spans="25:27" x14ac:dyDescent="0.2">
      <c r="Y1182" s="28"/>
      <c r="Z1182" s="28"/>
      <c r="AA1182" s="28"/>
    </row>
    <row r="1183" spans="25:27" x14ac:dyDescent="0.2">
      <c r="Y1183" s="28"/>
      <c r="Z1183" s="28"/>
      <c r="AA1183" s="28"/>
    </row>
    <row r="1184" spans="25:27" x14ac:dyDescent="0.2">
      <c r="Y1184" s="28"/>
      <c r="Z1184" s="28"/>
      <c r="AA1184" s="28"/>
    </row>
    <row r="1185" spans="25:27" x14ac:dyDescent="0.2">
      <c r="Y1185" s="28"/>
      <c r="Z1185" s="28"/>
      <c r="AA1185" s="28"/>
    </row>
    <row r="1186" spans="25:27" x14ac:dyDescent="0.2">
      <c r="Y1186" s="28"/>
      <c r="Z1186" s="28"/>
      <c r="AA1186" s="28"/>
    </row>
    <row r="1187" spans="25:27" x14ac:dyDescent="0.2">
      <c r="Y1187" s="28"/>
      <c r="Z1187" s="28"/>
      <c r="AA1187" s="28"/>
    </row>
    <row r="1188" spans="25:27" x14ac:dyDescent="0.2">
      <c r="Y1188" s="28"/>
      <c r="Z1188" s="28"/>
      <c r="AA1188" s="28"/>
    </row>
    <row r="1189" spans="25:27" x14ac:dyDescent="0.2">
      <c r="Y1189" s="28"/>
      <c r="Z1189" s="28"/>
      <c r="AA1189" s="28"/>
    </row>
    <row r="1190" spans="25:27" x14ac:dyDescent="0.2">
      <c r="Y1190" s="28"/>
      <c r="Z1190" s="28"/>
      <c r="AA1190" s="28"/>
    </row>
    <row r="1191" spans="25:27" x14ac:dyDescent="0.2">
      <c r="Y1191" s="28"/>
      <c r="Z1191" s="28"/>
      <c r="AA1191" s="28"/>
    </row>
    <row r="1192" spans="25:27" x14ac:dyDescent="0.2">
      <c r="Y1192" s="28"/>
      <c r="Z1192" s="28"/>
      <c r="AA1192" s="28"/>
    </row>
    <row r="1193" spans="25:27" x14ac:dyDescent="0.2">
      <c r="Y1193" s="28"/>
      <c r="Z1193" s="28"/>
      <c r="AA1193" s="28"/>
    </row>
    <row r="1194" spans="25:27" x14ac:dyDescent="0.2">
      <c r="Y1194" s="28"/>
      <c r="Z1194" s="28"/>
      <c r="AA1194" s="28"/>
    </row>
    <row r="1195" spans="25:27" x14ac:dyDescent="0.2">
      <c r="Y1195" s="28"/>
      <c r="Z1195" s="28"/>
      <c r="AA1195" s="28"/>
    </row>
    <row r="1196" spans="25:27" x14ac:dyDescent="0.2">
      <c r="Y1196" s="28"/>
      <c r="Z1196" s="28"/>
      <c r="AA1196" s="28"/>
    </row>
    <row r="1197" spans="25:27" x14ac:dyDescent="0.2">
      <c r="Y1197" s="28"/>
      <c r="Z1197" s="28"/>
      <c r="AA1197" s="28"/>
    </row>
    <row r="1198" spans="25:27" x14ac:dyDescent="0.2">
      <c r="Y1198" s="28"/>
      <c r="Z1198" s="28"/>
      <c r="AA1198" s="28"/>
    </row>
    <row r="1199" spans="25:27" x14ac:dyDescent="0.2">
      <c r="Y1199" s="28"/>
      <c r="Z1199" s="28"/>
      <c r="AA1199" s="28"/>
    </row>
    <row r="1200" spans="25:27" x14ac:dyDescent="0.2">
      <c r="Y1200" s="28"/>
      <c r="Z1200" s="28"/>
      <c r="AA1200" s="28"/>
    </row>
    <row r="1201" spans="25:27" x14ac:dyDescent="0.2">
      <c r="Y1201" s="28"/>
      <c r="Z1201" s="28"/>
      <c r="AA1201" s="28"/>
    </row>
    <row r="1202" spans="25:27" x14ac:dyDescent="0.2">
      <c r="Y1202" s="28"/>
      <c r="Z1202" s="28"/>
      <c r="AA1202" s="28"/>
    </row>
    <row r="1203" spans="25:27" x14ac:dyDescent="0.2">
      <c r="Y1203" s="28"/>
      <c r="Z1203" s="28"/>
      <c r="AA1203" s="28"/>
    </row>
    <row r="1204" spans="25:27" x14ac:dyDescent="0.2">
      <c r="Y1204" s="28"/>
      <c r="Z1204" s="28"/>
      <c r="AA1204" s="28"/>
    </row>
    <row r="1205" spans="25:27" x14ac:dyDescent="0.2">
      <c r="Y1205" s="28"/>
      <c r="Z1205" s="28"/>
      <c r="AA1205" s="28"/>
    </row>
    <row r="1206" spans="25:27" x14ac:dyDescent="0.2">
      <c r="Y1206" s="28"/>
      <c r="Z1206" s="28"/>
      <c r="AA1206" s="28"/>
    </row>
    <row r="1207" spans="25:27" x14ac:dyDescent="0.2">
      <c r="Y1207" s="28"/>
      <c r="Z1207" s="28"/>
      <c r="AA1207" s="28"/>
    </row>
    <row r="1208" spans="25:27" x14ac:dyDescent="0.2">
      <c r="Y1208" s="28"/>
      <c r="Z1208" s="28"/>
      <c r="AA1208" s="28"/>
    </row>
    <row r="1209" spans="25:27" x14ac:dyDescent="0.2">
      <c r="Y1209" s="28"/>
      <c r="Z1209" s="28"/>
      <c r="AA1209" s="28"/>
    </row>
    <row r="1210" spans="25:27" x14ac:dyDescent="0.2">
      <c r="Y1210" s="28"/>
      <c r="Z1210" s="28"/>
      <c r="AA1210" s="28"/>
    </row>
    <row r="1211" spans="25:27" x14ac:dyDescent="0.2">
      <c r="Y1211" s="28"/>
      <c r="Z1211" s="28"/>
      <c r="AA1211" s="28"/>
    </row>
    <row r="1212" spans="25:27" x14ac:dyDescent="0.2">
      <c r="Y1212" s="28"/>
      <c r="Z1212" s="28"/>
      <c r="AA1212" s="28"/>
    </row>
    <row r="1213" spans="25:27" x14ac:dyDescent="0.2">
      <c r="Y1213" s="28"/>
      <c r="Z1213" s="28"/>
      <c r="AA1213" s="28"/>
    </row>
    <row r="1214" spans="25:27" x14ac:dyDescent="0.2">
      <c r="Y1214" s="28"/>
      <c r="Z1214" s="28"/>
      <c r="AA1214" s="28"/>
    </row>
    <row r="1215" spans="25:27" x14ac:dyDescent="0.2">
      <c r="Y1215" s="28"/>
      <c r="Z1215" s="28"/>
      <c r="AA1215" s="28"/>
    </row>
    <row r="1216" spans="25:27" x14ac:dyDescent="0.2">
      <c r="Y1216" s="28"/>
      <c r="Z1216" s="28"/>
      <c r="AA1216" s="28"/>
    </row>
    <row r="1217" spans="25:27" x14ac:dyDescent="0.2">
      <c r="Y1217" s="28"/>
      <c r="Z1217" s="28"/>
      <c r="AA1217" s="28"/>
    </row>
    <row r="1218" spans="25:27" x14ac:dyDescent="0.2">
      <c r="Y1218" s="28"/>
      <c r="Z1218" s="28"/>
      <c r="AA1218" s="28"/>
    </row>
    <row r="1219" spans="25:27" x14ac:dyDescent="0.2">
      <c r="Y1219" s="28"/>
      <c r="Z1219" s="28"/>
      <c r="AA1219" s="28"/>
    </row>
    <row r="1220" spans="25:27" x14ac:dyDescent="0.2">
      <c r="Y1220" s="28"/>
      <c r="Z1220" s="28"/>
      <c r="AA1220" s="28"/>
    </row>
    <row r="1221" spans="25:27" x14ac:dyDescent="0.2">
      <c r="Y1221" s="28"/>
      <c r="Z1221" s="28"/>
      <c r="AA1221" s="28"/>
    </row>
    <row r="1222" spans="25:27" x14ac:dyDescent="0.2">
      <c r="Y1222" s="28"/>
      <c r="Z1222" s="28"/>
      <c r="AA1222" s="28"/>
    </row>
    <row r="1223" spans="25:27" x14ac:dyDescent="0.2">
      <c r="Y1223" s="28"/>
      <c r="Z1223" s="28"/>
      <c r="AA1223" s="28"/>
    </row>
    <row r="1224" spans="25:27" x14ac:dyDescent="0.2">
      <c r="Y1224" s="28"/>
      <c r="Z1224" s="28"/>
      <c r="AA1224" s="28"/>
    </row>
    <row r="1225" spans="25:27" x14ac:dyDescent="0.2">
      <c r="Y1225" s="28"/>
      <c r="Z1225" s="28"/>
      <c r="AA1225" s="28"/>
    </row>
    <row r="1226" spans="25:27" x14ac:dyDescent="0.2">
      <c r="Y1226" s="28"/>
      <c r="Z1226" s="28"/>
      <c r="AA1226" s="28"/>
    </row>
    <row r="1227" spans="25:27" x14ac:dyDescent="0.2">
      <c r="Y1227" s="28"/>
      <c r="Z1227" s="28"/>
      <c r="AA1227" s="28"/>
    </row>
    <row r="1228" spans="25:27" x14ac:dyDescent="0.2">
      <c r="Y1228" s="28"/>
      <c r="Z1228" s="28"/>
      <c r="AA1228" s="28"/>
    </row>
    <row r="1229" spans="25:27" x14ac:dyDescent="0.2">
      <c r="Y1229" s="28"/>
      <c r="Z1229" s="28"/>
      <c r="AA1229" s="28"/>
    </row>
    <row r="1230" spans="25:27" x14ac:dyDescent="0.2">
      <c r="Y1230" s="28"/>
      <c r="Z1230" s="28"/>
      <c r="AA1230" s="28"/>
    </row>
    <row r="1231" spans="25:27" x14ac:dyDescent="0.2">
      <c r="Y1231" s="28"/>
      <c r="Z1231" s="28"/>
      <c r="AA1231" s="28"/>
    </row>
    <row r="1232" spans="25:27" x14ac:dyDescent="0.2">
      <c r="Y1232" s="28"/>
      <c r="Z1232" s="28"/>
      <c r="AA1232" s="28"/>
    </row>
    <row r="1233" spans="25:27" x14ac:dyDescent="0.2">
      <c r="Y1233" s="28"/>
      <c r="Z1233" s="28"/>
      <c r="AA1233" s="28"/>
    </row>
    <row r="1234" spans="25:27" x14ac:dyDescent="0.2">
      <c r="Y1234" s="28"/>
      <c r="Z1234" s="28"/>
      <c r="AA1234" s="28"/>
    </row>
    <row r="1235" spans="25:27" x14ac:dyDescent="0.2">
      <c r="Y1235" s="28"/>
      <c r="Z1235" s="28"/>
      <c r="AA1235" s="28"/>
    </row>
    <row r="1236" spans="25:27" x14ac:dyDescent="0.2">
      <c r="Y1236" s="28"/>
      <c r="Z1236" s="28"/>
      <c r="AA1236" s="28"/>
    </row>
    <row r="1237" spans="25:27" x14ac:dyDescent="0.2">
      <c r="Y1237" s="28"/>
      <c r="Z1237" s="28"/>
      <c r="AA1237" s="28"/>
    </row>
    <row r="1238" spans="25:27" x14ac:dyDescent="0.2">
      <c r="Y1238" s="28"/>
      <c r="Z1238" s="28"/>
      <c r="AA1238" s="28"/>
    </row>
    <row r="1239" spans="25:27" x14ac:dyDescent="0.2">
      <c r="Y1239" s="28"/>
      <c r="Z1239" s="28"/>
      <c r="AA1239" s="28"/>
    </row>
    <row r="1240" spans="25:27" x14ac:dyDescent="0.2">
      <c r="Y1240" s="28"/>
      <c r="Z1240" s="28"/>
      <c r="AA1240" s="28"/>
    </row>
    <row r="1241" spans="25:27" x14ac:dyDescent="0.2">
      <c r="Y1241" s="28"/>
      <c r="Z1241" s="28"/>
      <c r="AA1241" s="28"/>
    </row>
    <row r="1242" spans="25:27" x14ac:dyDescent="0.2">
      <c r="Y1242" s="28"/>
      <c r="Z1242" s="28"/>
      <c r="AA1242" s="28"/>
    </row>
    <row r="1243" spans="25:27" x14ac:dyDescent="0.2">
      <c r="Y1243" s="28"/>
      <c r="Z1243" s="28"/>
      <c r="AA1243" s="28"/>
    </row>
    <row r="1244" spans="25:27" x14ac:dyDescent="0.2">
      <c r="Y1244" s="28"/>
      <c r="Z1244" s="28"/>
      <c r="AA1244" s="28"/>
    </row>
    <row r="1245" spans="25:27" x14ac:dyDescent="0.2">
      <c r="Y1245" s="28"/>
      <c r="Z1245" s="28"/>
      <c r="AA1245" s="28"/>
    </row>
    <row r="1246" spans="25:27" x14ac:dyDescent="0.2">
      <c r="Y1246" s="28"/>
      <c r="Z1246" s="28"/>
      <c r="AA1246" s="28"/>
    </row>
    <row r="1247" spans="25:27" x14ac:dyDescent="0.2">
      <c r="Y1247" s="28"/>
      <c r="Z1247" s="28"/>
      <c r="AA1247" s="28"/>
    </row>
    <row r="1248" spans="25:27" x14ac:dyDescent="0.2">
      <c r="Y1248" s="28"/>
      <c r="Z1248" s="28"/>
      <c r="AA1248" s="28"/>
    </row>
    <row r="1249" spans="25:27" x14ac:dyDescent="0.2">
      <c r="Y1249" s="28"/>
      <c r="Z1249" s="28"/>
      <c r="AA1249" s="28"/>
    </row>
    <row r="1250" spans="25:27" x14ac:dyDescent="0.2">
      <c r="Y1250" s="28"/>
      <c r="Z1250" s="28"/>
      <c r="AA1250" s="28"/>
    </row>
    <row r="1251" spans="25:27" x14ac:dyDescent="0.2">
      <c r="Y1251" s="28"/>
      <c r="Z1251" s="28"/>
      <c r="AA1251" s="28"/>
    </row>
    <row r="1252" spans="25:27" x14ac:dyDescent="0.2">
      <c r="Y1252" s="28"/>
      <c r="Z1252" s="28"/>
      <c r="AA1252" s="28"/>
    </row>
    <row r="1253" spans="25:27" x14ac:dyDescent="0.2">
      <c r="Y1253" s="28"/>
      <c r="Z1253" s="28"/>
      <c r="AA1253" s="28"/>
    </row>
    <row r="1254" spans="25:27" x14ac:dyDescent="0.2">
      <c r="Y1254" s="28"/>
      <c r="Z1254" s="28"/>
      <c r="AA1254" s="28"/>
    </row>
    <row r="1255" spans="25:27" x14ac:dyDescent="0.2">
      <c r="Y1255" s="28"/>
      <c r="Z1255" s="28"/>
      <c r="AA1255" s="28"/>
    </row>
    <row r="1256" spans="25:27" x14ac:dyDescent="0.2">
      <c r="Y1256" s="28"/>
      <c r="Z1256" s="28"/>
      <c r="AA1256" s="28"/>
    </row>
    <row r="1257" spans="25:27" x14ac:dyDescent="0.2">
      <c r="Y1257" s="28"/>
      <c r="Z1257" s="28"/>
      <c r="AA1257" s="28"/>
    </row>
    <row r="1258" spans="25:27" x14ac:dyDescent="0.2">
      <c r="Y1258" s="28"/>
      <c r="Z1258" s="28"/>
      <c r="AA1258" s="28"/>
    </row>
    <row r="1259" spans="25:27" x14ac:dyDescent="0.2">
      <c r="Y1259" s="28"/>
      <c r="Z1259" s="28"/>
      <c r="AA1259" s="28"/>
    </row>
    <row r="1260" spans="25:27" x14ac:dyDescent="0.2">
      <c r="Y1260" s="28"/>
      <c r="Z1260" s="28"/>
      <c r="AA1260" s="28"/>
    </row>
    <row r="1261" spans="25:27" x14ac:dyDescent="0.2">
      <c r="Y1261" s="28"/>
      <c r="Z1261" s="28"/>
      <c r="AA1261" s="28"/>
    </row>
    <row r="1262" spans="25:27" x14ac:dyDescent="0.2">
      <c r="Y1262" s="28"/>
      <c r="Z1262" s="28"/>
      <c r="AA1262" s="28"/>
    </row>
    <row r="1263" spans="25:27" x14ac:dyDescent="0.2">
      <c r="Y1263" s="28"/>
      <c r="Z1263" s="28"/>
      <c r="AA1263" s="28"/>
    </row>
    <row r="1264" spans="25:27" x14ac:dyDescent="0.2">
      <c r="Y1264" s="28"/>
      <c r="Z1264" s="28"/>
      <c r="AA1264" s="28"/>
    </row>
    <row r="1265" spans="25:27" x14ac:dyDescent="0.2">
      <c r="Y1265" s="28"/>
      <c r="Z1265" s="28"/>
      <c r="AA1265" s="28"/>
    </row>
    <row r="1266" spans="25:27" x14ac:dyDescent="0.2">
      <c r="Y1266" s="28"/>
      <c r="Z1266" s="28"/>
      <c r="AA1266" s="28"/>
    </row>
    <row r="1267" spans="25:27" x14ac:dyDescent="0.2">
      <c r="Y1267" s="28"/>
      <c r="Z1267" s="28"/>
      <c r="AA1267" s="28"/>
    </row>
    <row r="1268" spans="25:27" x14ac:dyDescent="0.2">
      <c r="Y1268" s="28"/>
      <c r="Z1268" s="28"/>
      <c r="AA1268" s="28"/>
    </row>
    <row r="1269" spans="25:27" x14ac:dyDescent="0.2">
      <c r="Y1269" s="28"/>
      <c r="Z1269" s="28"/>
      <c r="AA1269" s="28"/>
    </row>
    <row r="1270" spans="25:27" x14ac:dyDescent="0.2">
      <c r="Y1270" s="28"/>
      <c r="Z1270" s="28"/>
      <c r="AA1270" s="28"/>
    </row>
    <row r="1271" spans="25:27" x14ac:dyDescent="0.2">
      <c r="Y1271" s="28"/>
      <c r="Z1271" s="28"/>
      <c r="AA1271" s="28"/>
    </row>
    <row r="1272" spans="25:27" x14ac:dyDescent="0.2">
      <c r="Y1272" s="28"/>
      <c r="Z1272" s="28"/>
      <c r="AA1272" s="28"/>
    </row>
    <row r="1273" spans="25:27" x14ac:dyDescent="0.2">
      <c r="Y1273" s="28"/>
      <c r="Z1273" s="28"/>
      <c r="AA1273" s="28"/>
    </row>
    <row r="1274" spans="25:27" x14ac:dyDescent="0.2">
      <c r="Y1274" s="28"/>
      <c r="Z1274" s="28"/>
      <c r="AA1274" s="28"/>
    </row>
    <row r="1275" spans="25:27" x14ac:dyDescent="0.2">
      <c r="Y1275" s="28"/>
      <c r="Z1275" s="28"/>
      <c r="AA1275" s="28"/>
    </row>
    <row r="1276" spans="25:27" x14ac:dyDescent="0.2">
      <c r="Y1276" s="28"/>
      <c r="Z1276" s="28"/>
      <c r="AA1276" s="28"/>
    </row>
    <row r="1277" spans="25:27" x14ac:dyDescent="0.2">
      <c r="Y1277" s="28"/>
      <c r="Z1277" s="28"/>
      <c r="AA1277" s="28"/>
    </row>
    <row r="1278" spans="25:27" x14ac:dyDescent="0.2">
      <c r="Y1278" s="28"/>
      <c r="Z1278" s="28"/>
      <c r="AA1278" s="28"/>
    </row>
    <row r="1279" spans="25:27" x14ac:dyDescent="0.2">
      <c r="Y1279" s="28"/>
      <c r="Z1279" s="28"/>
      <c r="AA1279" s="28"/>
    </row>
    <row r="1280" spans="25:27" x14ac:dyDescent="0.2">
      <c r="Y1280" s="28"/>
      <c r="Z1280" s="28"/>
      <c r="AA1280" s="28"/>
    </row>
    <row r="1281" spans="25:27" x14ac:dyDescent="0.2">
      <c r="Y1281" s="28"/>
      <c r="Z1281" s="28"/>
      <c r="AA1281" s="28"/>
    </row>
    <row r="1282" spans="25:27" x14ac:dyDescent="0.2">
      <c r="Y1282" s="28"/>
      <c r="Z1282" s="28"/>
      <c r="AA1282" s="28"/>
    </row>
    <row r="1283" spans="25:27" x14ac:dyDescent="0.2">
      <c r="Y1283" s="28"/>
      <c r="Z1283" s="28"/>
      <c r="AA1283" s="28"/>
    </row>
    <row r="1284" spans="25:27" x14ac:dyDescent="0.2">
      <c r="Y1284" s="28"/>
      <c r="Z1284" s="28"/>
      <c r="AA1284" s="28"/>
    </row>
    <row r="1285" spans="25:27" x14ac:dyDescent="0.2">
      <c r="Y1285" s="28"/>
      <c r="Z1285" s="28"/>
      <c r="AA1285" s="28"/>
    </row>
    <row r="1286" spans="25:27" x14ac:dyDescent="0.2">
      <c r="Y1286" s="28"/>
      <c r="Z1286" s="28"/>
      <c r="AA1286" s="28"/>
    </row>
    <row r="1287" spans="25:27" x14ac:dyDescent="0.2">
      <c r="Y1287" s="28"/>
      <c r="Z1287" s="28"/>
      <c r="AA1287" s="28"/>
    </row>
    <row r="1288" spans="25:27" x14ac:dyDescent="0.2">
      <c r="Y1288" s="28"/>
      <c r="Z1288" s="28"/>
      <c r="AA1288" s="28"/>
    </row>
    <row r="1289" spans="25:27" x14ac:dyDescent="0.2">
      <c r="Y1289" s="28"/>
      <c r="Z1289" s="28"/>
      <c r="AA1289" s="28"/>
    </row>
    <row r="1290" spans="25:27" x14ac:dyDescent="0.2">
      <c r="Y1290" s="28"/>
      <c r="Z1290" s="28"/>
      <c r="AA1290" s="28"/>
    </row>
    <row r="1291" spans="25:27" x14ac:dyDescent="0.2">
      <c r="Y1291" s="28"/>
      <c r="Z1291" s="28"/>
      <c r="AA1291" s="28"/>
    </row>
    <row r="1292" spans="25:27" x14ac:dyDescent="0.2">
      <c r="Y1292" s="28"/>
      <c r="Z1292" s="28"/>
      <c r="AA1292" s="28"/>
    </row>
    <row r="1293" spans="25:27" x14ac:dyDescent="0.2">
      <c r="Y1293" s="28"/>
      <c r="Z1293" s="28"/>
      <c r="AA1293" s="28"/>
    </row>
    <row r="1294" spans="25:27" x14ac:dyDescent="0.2">
      <c r="Y1294" s="28"/>
      <c r="Z1294" s="28"/>
      <c r="AA1294" s="28"/>
    </row>
    <row r="1295" spans="25:27" x14ac:dyDescent="0.2">
      <c r="Y1295" s="28"/>
      <c r="Z1295" s="28"/>
      <c r="AA1295" s="28"/>
    </row>
    <row r="1296" spans="25:27" x14ac:dyDescent="0.2">
      <c r="Y1296" s="28"/>
      <c r="Z1296" s="28"/>
      <c r="AA1296" s="28"/>
    </row>
    <row r="1297" spans="25:27" x14ac:dyDescent="0.2">
      <c r="Y1297" s="28"/>
      <c r="Z1297" s="28"/>
      <c r="AA1297" s="28"/>
    </row>
    <row r="1298" spans="25:27" x14ac:dyDescent="0.2">
      <c r="Y1298" s="28"/>
      <c r="Z1298" s="28"/>
      <c r="AA1298" s="28"/>
    </row>
    <row r="1299" spans="25:27" x14ac:dyDescent="0.2">
      <c r="Y1299" s="28"/>
      <c r="Z1299" s="28"/>
      <c r="AA1299" s="28"/>
    </row>
    <row r="1300" spans="25:27" x14ac:dyDescent="0.2">
      <c r="Y1300" s="28"/>
      <c r="Z1300" s="28"/>
      <c r="AA1300" s="28"/>
    </row>
    <row r="1301" spans="25:27" x14ac:dyDescent="0.2">
      <c r="Y1301" s="28"/>
      <c r="Z1301" s="28"/>
      <c r="AA1301" s="28"/>
    </row>
    <row r="1302" spans="25:27" x14ac:dyDescent="0.2">
      <c r="Y1302" s="28"/>
      <c r="Z1302" s="28"/>
      <c r="AA1302" s="28"/>
    </row>
    <row r="1303" spans="25:27" x14ac:dyDescent="0.2">
      <c r="Y1303" s="28"/>
      <c r="Z1303" s="28"/>
      <c r="AA1303" s="28"/>
    </row>
    <row r="1304" spans="25:27" x14ac:dyDescent="0.2">
      <c r="Y1304" s="28"/>
      <c r="Z1304" s="28"/>
      <c r="AA1304" s="28"/>
    </row>
    <row r="1305" spans="25:27" x14ac:dyDescent="0.2">
      <c r="Y1305" s="28"/>
      <c r="Z1305" s="28"/>
      <c r="AA1305" s="28"/>
    </row>
    <row r="1306" spans="25:27" x14ac:dyDescent="0.2">
      <c r="Y1306" s="28"/>
      <c r="Z1306" s="28"/>
      <c r="AA1306" s="28"/>
    </row>
    <row r="1307" spans="25:27" x14ac:dyDescent="0.2">
      <c r="Y1307" s="28"/>
      <c r="Z1307" s="28"/>
      <c r="AA1307" s="28"/>
    </row>
    <row r="1308" spans="25:27" x14ac:dyDescent="0.2">
      <c r="Y1308" s="28"/>
      <c r="Z1308" s="28"/>
      <c r="AA1308" s="28"/>
    </row>
    <row r="1309" spans="25:27" x14ac:dyDescent="0.2">
      <c r="Y1309" s="28"/>
      <c r="Z1309" s="28"/>
      <c r="AA1309" s="28"/>
    </row>
    <row r="1310" spans="25:27" x14ac:dyDescent="0.2">
      <c r="Y1310" s="28"/>
      <c r="Z1310" s="28"/>
      <c r="AA1310" s="28"/>
    </row>
    <row r="1311" spans="25:27" x14ac:dyDescent="0.2">
      <c r="Y1311" s="28"/>
      <c r="Z1311" s="28"/>
      <c r="AA1311" s="28"/>
    </row>
    <row r="1312" spans="25:27" x14ac:dyDescent="0.2">
      <c r="Y1312" s="28"/>
      <c r="Z1312" s="28"/>
      <c r="AA1312" s="28"/>
    </row>
    <row r="1313" spans="25:27" x14ac:dyDescent="0.2">
      <c r="Y1313" s="28"/>
      <c r="Z1313" s="28"/>
      <c r="AA1313" s="28"/>
    </row>
    <row r="1314" spans="25:27" x14ac:dyDescent="0.2">
      <c r="Y1314" s="28"/>
      <c r="Z1314" s="28"/>
      <c r="AA1314" s="28"/>
    </row>
    <row r="1315" spans="25:27" x14ac:dyDescent="0.2">
      <c r="Y1315" s="28"/>
      <c r="Z1315" s="28"/>
      <c r="AA1315" s="28"/>
    </row>
    <row r="1316" spans="25:27" x14ac:dyDescent="0.2">
      <c r="Y1316" s="28"/>
      <c r="Z1316" s="28"/>
      <c r="AA1316" s="28"/>
    </row>
    <row r="1317" spans="25:27" x14ac:dyDescent="0.2">
      <c r="Y1317" s="28"/>
      <c r="Z1317" s="28"/>
      <c r="AA1317" s="28"/>
    </row>
    <row r="1318" spans="25:27" x14ac:dyDescent="0.2">
      <c r="Y1318" s="28"/>
      <c r="Z1318" s="28"/>
      <c r="AA1318" s="28"/>
    </row>
    <row r="1319" spans="25:27" x14ac:dyDescent="0.2">
      <c r="Y1319" s="28"/>
      <c r="Z1319" s="28"/>
      <c r="AA1319" s="28"/>
    </row>
    <row r="1320" spans="25:27" x14ac:dyDescent="0.2">
      <c r="Y1320" s="28"/>
      <c r="Z1320" s="28"/>
      <c r="AA1320" s="28"/>
    </row>
    <row r="1321" spans="25:27" x14ac:dyDescent="0.2">
      <c r="Y1321" s="28"/>
      <c r="Z1321" s="28"/>
      <c r="AA1321" s="28"/>
    </row>
    <row r="1322" spans="25:27" x14ac:dyDescent="0.2">
      <c r="Y1322" s="28"/>
      <c r="Z1322" s="28"/>
      <c r="AA1322" s="28"/>
    </row>
    <row r="1323" spans="25:27" x14ac:dyDescent="0.2">
      <c r="Y1323" s="28"/>
      <c r="Z1323" s="28"/>
      <c r="AA1323" s="28"/>
    </row>
    <row r="1324" spans="25:27" x14ac:dyDescent="0.2">
      <c r="Y1324" s="28"/>
      <c r="Z1324" s="28"/>
      <c r="AA1324" s="28"/>
    </row>
    <row r="1325" spans="25:27" x14ac:dyDescent="0.2">
      <c r="Y1325" s="28"/>
      <c r="Z1325" s="28"/>
      <c r="AA1325" s="28"/>
    </row>
    <row r="1326" spans="25:27" x14ac:dyDescent="0.2">
      <c r="Y1326" s="28"/>
      <c r="Z1326" s="28"/>
      <c r="AA1326" s="28"/>
    </row>
    <row r="1327" spans="25:27" x14ac:dyDescent="0.2">
      <c r="Y1327" s="28"/>
      <c r="Z1327" s="28"/>
      <c r="AA1327" s="28"/>
    </row>
    <row r="1328" spans="25:27" x14ac:dyDescent="0.2">
      <c r="Y1328" s="28"/>
      <c r="Z1328" s="28"/>
      <c r="AA1328" s="28"/>
    </row>
    <row r="1329" spans="25:27" x14ac:dyDescent="0.2">
      <c r="Y1329" s="28"/>
      <c r="Z1329" s="28"/>
      <c r="AA1329" s="28"/>
    </row>
    <row r="1330" spans="25:27" x14ac:dyDescent="0.2">
      <c r="Y1330" s="28"/>
      <c r="Z1330" s="28"/>
      <c r="AA1330" s="28"/>
    </row>
    <row r="1331" spans="25:27" x14ac:dyDescent="0.2">
      <c r="Y1331" s="28"/>
      <c r="Z1331" s="28"/>
      <c r="AA1331" s="28"/>
    </row>
    <row r="1332" spans="25:27" x14ac:dyDescent="0.2">
      <c r="Y1332" s="28"/>
      <c r="Z1332" s="28"/>
      <c r="AA1332" s="28"/>
    </row>
    <row r="1333" spans="25:27" x14ac:dyDescent="0.2">
      <c r="Y1333" s="28"/>
      <c r="Z1333" s="28"/>
      <c r="AA1333" s="28"/>
    </row>
    <row r="1334" spans="25:27" x14ac:dyDescent="0.2">
      <c r="Y1334" s="28"/>
      <c r="Z1334" s="28"/>
      <c r="AA1334" s="28"/>
    </row>
    <row r="1335" spans="25:27" x14ac:dyDescent="0.2">
      <c r="Y1335" s="28"/>
      <c r="Z1335" s="28"/>
      <c r="AA1335" s="28"/>
    </row>
    <row r="1336" spans="25:27" x14ac:dyDescent="0.2">
      <c r="Y1336" s="28"/>
      <c r="Z1336" s="28"/>
      <c r="AA1336" s="28"/>
    </row>
    <row r="1337" spans="25:27" x14ac:dyDescent="0.2">
      <c r="Y1337" s="28"/>
      <c r="Z1337" s="28"/>
      <c r="AA1337" s="28"/>
    </row>
    <row r="1338" spans="25:27" x14ac:dyDescent="0.2">
      <c r="Y1338" s="28"/>
      <c r="Z1338" s="28"/>
      <c r="AA1338" s="28"/>
    </row>
    <row r="1339" spans="25:27" x14ac:dyDescent="0.2">
      <c r="Y1339" s="28"/>
      <c r="Z1339" s="28"/>
      <c r="AA1339" s="28"/>
    </row>
    <row r="1340" spans="25:27" x14ac:dyDescent="0.2">
      <c r="Y1340" s="28"/>
      <c r="Z1340" s="28"/>
      <c r="AA1340" s="28"/>
    </row>
    <row r="1341" spans="25:27" x14ac:dyDescent="0.2">
      <c r="Y1341" s="28"/>
      <c r="Z1341" s="28"/>
      <c r="AA1341" s="28"/>
    </row>
    <row r="1342" spans="25:27" x14ac:dyDescent="0.2">
      <c r="Y1342" s="28"/>
      <c r="Z1342" s="28"/>
      <c r="AA1342" s="28"/>
    </row>
    <row r="1343" spans="25:27" x14ac:dyDescent="0.2">
      <c r="Y1343" s="28"/>
      <c r="Z1343" s="28"/>
      <c r="AA1343" s="28"/>
    </row>
    <row r="1344" spans="25:27" x14ac:dyDescent="0.2">
      <c r="Y1344" s="28"/>
      <c r="Z1344" s="28"/>
      <c r="AA1344" s="28"/>
    </row>
    <row r="1345" spans="25:27" x14ac:dyDescent="0.2">
      <c r="Y1345" s="28"/>
      <c r="Z1345" s="28"/>
      <c r="AA1345" s="28"/>
    </row>
    <row r="1346" spans="25:27" x14ac:dyDescent="0.2">
      <c r="Y1346" s="28"/>
      <c r="Z1346" s="28"/>
      <c r="AA1346" s="28"/>
    </row>
    <row r="1347" spans="25:27" x14ac:dyDescent="0.2">
      <c r="Y1347" s="28"/>
      <c r="Z1347" s="28"/>
      <c r="AA1347" s="28"/>
    </row>
    <row r="1348" spans="25:27" x14ac:dyDescent="0.2">
      <c r="Y1348" s="28"/>
      <c r="Z1348" s="28"/>
      <c r="AA1348" s="28"/>
    </row>
    <row r="1349" spans="25:27" x14ac:dyDescent="0.2">
      <c r="Y1349" s="28"/>
      <c r="Z1349" s="28"/>
      <c r="AA1349" s="28"/>
    </row>
    <row r="1350" spans="25:27" x14ac:dyDescent="0.2">
      <c r="Y1350" s="28"/>
      <c r="Z1350" s="28"/>
      <c r="AA1350" s="28"/>
    </row>
    <row r="1351" spans="25:27" x14ac:dyDescent="0.2">
      <c r="Y1351" s="28"/>
      <c r="Z1351" s="28"/>
      <c r="AA1351" s="28"/>
    </row>
    <row r="1352" spans="25:27" x14ac:dyDescent="0.2">
      <c r="Y1352" s="28"/>
      <c r="Z1352" s="28"/>
      <c r="AA1352" s="28"/>
    </row>
    <row r="1353" spans="25:27" x14ac:dyDescent="0.2">
      <c r="Y1353" s="28"/>
      <c r="Z1353" s="28"/>
      <c r="AA1353" s="28"/>
    </row>
    <row r="1354" spans="25:27" x14ac:dyDescent="0.2">
      <c r="Y1354" s="28"/>
      <c r="Z1354" s="28"/>
      <c r="AA1354" s="28"/>
    </row>
    <row r="1355" spans="25:27" x14ac:dyDescent="0.2">
      <c r="Y1355" s="28"/>
      <c r="Z1355" s="28"/>
      <c r="AA1355" s="28"/>
    </row>
    <row r="1356" spans="25:27" x14ac:dyDescent="0.2">
      <c r="Y1356" s="28"/>
      <c r="Z1356" s="28"/>
      <c r="AA1356" s="28"/>
    </row>
    <row r="1357" spans="25:27" x14ac:dyDescent="0.2">
      <c r="Y1357" s="28"/>
      <c r="Z1357" s="28"/>
      <c r="AA1357" s="28"/>
    </row>
    <row r="1358" spans="25:27" x14ac:dyDescent="0.2">
      <c r="Y1358" s="28"/>
      <c r="Z1358" s="28"/>
      <c r="AA1358" s="28"/>
    </row>
    <row r="1359" spans="25:27" x14ac:dyDescent="0.2">
      <c r="Y1359" s="28"/>
      <c r="Z1359" s="28"/>
      <c r="AA1359" s="28"/>
    </row>
    <row r="1360" spans="25:27" x14ac:dyDescent="0.2">
      <c r="Y1360" s="28"/>
      <c r="Z1360" s="28"/>
      <c r="AA1360" s="28"/>
    </row>
    <row r="1361" spans="25:27" x14ac:dyDescent="0.2">
      <c r="Y1361" s="28"/>
      <c r="Z1361" s="28"/>
      <c r="AA1361" s="28"/>
    </row>
    <row r="1362" spans="25:27" x14ac:dyDescent="0.2">
      <c r="Y1362" s="28"/>
      <c r="Z1362" s="28"/>
      <c r="AA1362" s="28"/>
    </row>
    <row r="1363" spans="25:27" x14ac:dyDescent="0.2">
      <c r="Y1363" s="28"/>
      <c r="Z1363" s="28"/>
      <c r="AA1363" s="28"/>
    </row>
    <row r="1364" spans="25:27" x14ac:dyDescent="0.2">
      <c r="Y1364" s="28"/>
      <c r="Z1364" s="28"/>
      <c r="AA1364" s="28"/>
    </row>
    <row r="1365" spans="25:27" x14ac:dyDescent="0.2">
      <c r="Y1365" s="28"/>
      <c r="Z1365" s="28"/>
      <c r="AA1365" s="28"/>
    </row>
    <row r="1366" spans="25:27" x14ac:dyDescent="0.2">
      <c r="Y1366" s="28"/>
      <c r="Z1366" s="28"/>
      <c r="AA1366" s="28"/>
    </row>
    <row r="1367" spans="25:27" x14ac:dyDescent="0.2">
      <c r="Y1367" s="28"/>
      <c r="Z1367" s="28"/>
      <c r="AA1367" s="28"/>
    </row>
    <row r="1368" spans="25:27" x14ac:dyDescent="0.2">
      <c r="Y1368" s="28"/>
      <c r="Z1368" s="28"/>
      <c r="AA1368" s="28"/>
    </row>
    <row r="1369" spans="25:27" x14ac:dyDescent="0.2">
      <c r="Y1369" s="28"/>
      <c r="Z1369" s="28"/>
      <c r="AA1369" s="28"/>
    </row>
    <row r="1370" spans="25:27" x14ac:dyDescent="0.2">
      <c r="Y1370" s="28"/>
      <c r="Z1370" s="28"/>
      <c r="AA1370" s="28"/>
    </row>
    <row r="1371" spans="25:27" x14ac:dyDescent="0.2">
      <c r="Y1371" s="28"/>
      <c r="Z1371" s="28"/>
      <c r="AA1371" s="28"/>
    </row>
    <row r="1372" spans="25:27" x14ac:dyDescent="0.2">
      <c r="Y1372" s="28"/>
      <c r="Z1372" s="28"/>
      <c r="AA1372" s="28"/>
    </row>
    <row r="1373" spans="25:27" x14ac:dyDescent="0.2">
      <c r="Y1373" s="28"/>
      <c r="Z1373" s="28"/>
      <c r="AA1373" s="28"/>
    </row>
    <row r="1374" spans="25:27" x14ac:dyDescent="0.2">
      <c r="Y1374" s="28"/>
      <c r="Z1374" s="28"/>
      <c r="AA1374" s="28"/>
    </row>
    <row r="1375" spans="25:27" x14ac:dyDescent="0.2">
      <c r="Y1375" s="28"/>
      <c r="Z1375" s="28"/>
      <c r="AA1375" s="28"/>
    </row>
    <row r="1376" spans="25:27" x14ac:dyDescent="0.2">
      <c r="Y1376" s="28"/>
      <c r="Z1376" s="28"/>
      <c r="AA1376" s="28"/>
    </row>
    <row r="1377" spans="25:27" x14ac:dyDescent="0.2">
      <c r="Y1377" s="28"/>
      <c r="Z1377" s="28"/>
      <c r="AA1377" s="28"/>
    </row>
    <row r="1378" spans="25:27" x14ac:dyDescent="0.2">
      <c r="Y1378" s="28"/>
      <c r="Z1378" s="28"/>
      <c r="AA1378" s="28"/>
    </row>
    <row r="1379" spans="25:27" x14ac:dyDescent="0.2">
      <c r="Y1379" s="28"/>
      <c r="Z1379" s="28"/>
      <c r="AA1379" s="28"/>
    </row>
    <row r="1380" spans="25:27" x14ac:dyDescent="0.2">
      <c r="Y1380" s="28"/>
      <c r="Z1380" s="28"/>
      <c r="AA1380" s="28"/>
    </row>
    <row r="1381" spans="25:27" x14ac:dyDescent="0.2">
      <c r="Y1381" s="28"/>
      <c r="Z1381" s="28"/>
      <c r="AA1381" s="28"/>
    </row>
    <row r="1382" spans="25:27" x14ac:dyDescent="0.2">
      <c r="Y1382" s="28"/>
      <c r="Z1382" s="28"/>
      <c r="AA1382" s="28"/>
    </row>
    <row r="1383" spans="25:27" x14ac:dyDescent="0.2">
      <c r="Y1383" s="28"/>
      <c r="Z1383" s="28"/>
      <c r="AA1383" s="28"/>
    </row>
    <row r="1384" spans="25:27" x14ac:dyDescent="0.2">
      <c r="Y1384" s="28"/>
      <c r="Z1384" s="28"/>
      <c r="AA1384" s="28"/>
    </row>
    <row r="1385" spans="25:27" x14ac:dyDescent="0.2">
      <c r="Y1385" s="28"/>
      <c r="Z1385" s="28"/>
      <c r="AA1385" s="28"/>
    </row>
    <row r="1386" spans="25:27" x14ac:dyDescent="0.2">
      <c r="Y1386" s="28"/>
      <c r="Z1386" s="28"/>
      <c r="AA1386" s="28"/>
    </row>
    <row r="1387" spans="25:27" x14ac:dyDescent="0.2">
      <c r="Y1387" s="28"/>
      <c r="Z1387" s="28"/>
      <c r="AA1387" s="28"/>
    </row>
    <row r="1388" spans="25:27" x14ac:dyDescent="0.2">
      <c r="Y1388" s="28"/>
      <c r="Z1388" s="28"/>
      <c r="AA1388" s="28"/>
    </row>
    <row r="1389" spans="25:27" x14ac:dyDescent="0.2">
      <c r="Y1389" s="28"/>
      <c r="Z1389" s="28"/>
      <c r="AA1389" s="28"/>
    </row>
    <row r="1390" spans="25:27" x14ac:dyDescent="0.2">
      <c r="Y1390" s="28"/>
      <c r="Z1390" s="28"/>
      <c r="AA1390" s="28"/>
    </row>
    <row r="1391" spans="25:27" x14ac:dyDescent="0.2">
      <c r="Y1391" s="28"/>
      <c r="Z1391" s="28"/>
      <c r="AA1391" s="28"/>
    </row>
    <row r="1392" spans="25:27" x14ac:dyDescent="0.2">
      <c r="Y1392" s="28"/>
      <c r="Z1392" s="28"/>
      <c r="AA1392" s="28"/>
    </row>
    <row r="1393" spans="25:27" x14ac:dyDescent="0.2">
      <c r="Y1393" s="28"/>
      <c r="Z1393" s="28"/>
      <c r="AA1393" s="28"/>
    </row>
    <row r="1394" spans="25:27" x14ac:dyDescent="0.2">
      <c r="Y1394" s="28"/>
      <c r="Z1394" s="28"/>
      <c r="AA1394" s="28"/>
    </row>
    <row r="1395" spans="25:27" x14ac:dyDescent="0.2">
      <c r="Y1395" s="28"/>
      <c r="Z1395" s="28"/>
      <c r="AA1395" s="28"/>
    </row>
    <row r="1396" spans="25:27" x14ac:dyDescent="0.2">
      <c r="Y1396" s="28"/>
      <c r="Z1396" s="28"/>
      <c r="AA1396" s="28"/>
    </row>
    <row r="1397" spans="25:27" x14ac:dyDescent="0.2">
      <c r="Y1397" s="28"/>
      <c r="Z1397" s="28"/>
      <c r="AA1397" s="28"/>
    </row>
    <row r="1398" spans="25:27" x14ac:dyDescent="0.2">
      <c r="Y1398" s="28"/>
      <c r="Z1398" s="28"/>
      <c r="AA1398" s="28"/>
    </row>
    <row r="1399" spans="25:27" x14ac:dyDescent="0.2">
      <c r="Y1399" s="28"/>
      <c r="Z1399" s="28"/>
      <c r="AA1399" s="28"/>
    </row>
    <row r="1400" spans="25:27" x14ac:dyDescent="0.2">
      <c r="Y1400" s="28"/>
      <c r="Z1400" s="28"/>
      <c r="AA1400" s="28"/>
    </row>
    <row r="1401" spans="25:27" x14ac:dyDescent="0.2">
      <c r="Y1401" s="28"/>
      <c r="Z1401" s="28"/>
      <c r="AA1401" s="28"/>
    </row>
    <row r="1402" spans="25:27" x14ac:dyDescent="0.2">
      <c r="Y1402" s="28"/>
      <c r="Z1402" s="28"/>
      <c r="AA1402" s="28"/>
    </row>
    <row r="1403" spans="25:27" x14ac:dyDescent="0.2">
      <c r="Y1403" s="28"/>
      <c r="Z1403" s="28"/>
      <c r="AA1403" s="28"/>
    </row>
    <row r="1404" spans="25:27" x14ac:dyDescent="0.2">
      <c r="Y1404" s="28"/>
      <c r="Z1404" s="28"/>
      <c r="AA1404" s="28"/>
    </row>
    <row r="1405" spans="25:27" x14ac:dyDescent="0.2">
      <c r="Y1405" s="28"/>
      <c r="Z1405" s="28"/>
      <c r="AA1405" s="28"/>
    </row>
    <row r="1406" spans="25:27" x14ac:dyDescent="0.2">
      <c r="Y1406" s="28"/>
      <c r="Z1406" s="28"/>
      <c r="AA1406" s="28"/>
    </row>
    <row r="1407" spans="25:27" x14ac:dyDescent="0.2">
      <c r="Y1407" s="28"/>
      <c r="Z1407" s="28"/>
      <c r="AA1407" s="28"/>
    </row>
    <row r="1408" spans="25:27" x14ac:dyDescent="0.2">
      <c r="Y1408" s="28"/>
      <c r="Z1408" s="28"/>
      <c r="AA1408" s="28"/>
    </row>
    <row r="1409" spans="25:27" x14ac:dyDescent="0.2">
      <c r="Y1409" s="28"/>
      <c r="Z1409" s="28"/>
      <c r="AA1409" s="28"/>
    </row>
    <row r="1410" spans="25:27" x14ac:dyDescent="0.2">
      <c r="Y1410" s="28"/>
      <c r="Z1410" s="28"/>
      <c r="AA1410" s="28"/>
    </row>
    <row r="1411" spans="25:27" x14ac:dyDescent="0.2">
      <c r="Y1411" s="28"/>
      <c r="Z1411" s="28"/>
      <c r="AA1411" s="28"/>
    </row>
    <row r="1412" spans="25:27" x14ac:dyDescent="0.2">
      <c r="Y1412" s="28"/>
      <c r="Z1412" s="28"/>
      <c r="AA1412" s="28"/>
    </row>
    <row r="1413" spans="25:27" x14ac:dyDescent="0.2">
      <c r="Y1413" s="28"/>
      <c r="Z1413" s="28"/>
      <c r="AA1413" s="28"/>
    </row>
    <row r="1414" spans="25:27" x14ac:dyDescent="0.2">
      <c r="Y1414" s="28"/>
      <c r="Z1414" s="28"/>
      <c r="AA1414" s="28"/>
    </row>
    <row r="1415" spans="25:27" x14ac:dyDescent="0.2">
      <c r="Y1415" s="28"/>
      <c r="Z1415" s="28"/>
      <c r="AA1415" s="28"/>
    </row>
    <row r="1416" spans="25:27" x14ac:dyDescent="0.2">
      <c r="Y1416" s="28"/>
      <c r="Z1416" s="28"/>
      <c r="AA1416" s="28"/>
    </row>
    <row r="1417" spans="25:27" x14ac:dyDescent="0.2">
      <c r="Y1417" s="28"/>
      <c r="Z1417" s="28"/>
      <c r="AA1417" s="28"/>
    </row>
    <row r="1418" spans="25:27" x14ac:dyDescent="0.2">
      <c r="Y1418" s="28"/>
      <c r="Z1418" s="28"/>
      <c r="AA1418" s="28"/>
    </row>
    <row r="1419" spans="25:27" x14ac:dyDescent="0.2">
      <c r="Y1419" s="28"/>
      <c r="Z1419" s="28"/>
      <c r="AA1419" s="28"/>
    </row>
    <row r="1420" spans="25:27" x14ac:dyDescent="0.2">
      <c r="Y1420" s="28"/>
      <c r="Z1420" s="28"/>
      <c r="AA1420" s="28"/>
    </row>
    <row r="1421" spans="25:27" x14ac:dyDescent="0.2">
      <c r="Y1421" s="28"/>
      <c r="Z1421" s="28"/>
      <c r="AA1421" s="28"/>
    </row>
    <row r="1422" spans="25:27" x14ac:dyDescent="0.2">
      <c r="Y1422" s="28"/>
      <c r="Z1422" s="28"/>
      <c r="AA1422" s="28"/>
    </row>
    <row r="1423" spans="25:27" x14ac:dyDescent="0.2">
      <c r="Y1423" s="28"/>
      <c r="Z1423" s="28"/>
      <c r="AA1423" s="28"/>
    </row>
    <row r="1424" spans="25:27" x14ac:dyDescent="0.2">
      <c r="Y1424" s="28"/>
      <c r="Z1424" s="28"/>
      <c r="AA1424" s="28"/>
    </row>
    <row r="1425" spans="25:27" x14ac:dyDescent="0.2">
      <c r="Y1425" s="28"/>
      <c r="Z1425" s="28"/>
      <c r="AA1425" s="28"/>
    </row>
    <row r="1426" spans="25:27" x14ac:dyDescent="0.2">
      <c r="Y1426" s="28"/>
      <c r="Z1426" s="28"/>
      <c r="AA1426" s="28"/>
    </row>
    <row r="1427" spans="25:27" x14ac:dyDescent="0.2">
      <c r="Y1427" s="28"/>
      <c r="Z1427" s="28"/>
      <c r="AA1427" s="28"/>
    </row>
    <row r="1428" spans="25:27" x14ac:dyDescent="0.2">
      <c r="Y1428" s="28"/>
      <c r="Z1428" s="28"/>
      <c r="AA1428" s="28"/>
    </row>
    <row r="1429" spans="25:27" x14ac:dyDescent="0.2">
      <c r="Y1429" s="28"/>
      <c r="Z1429" s="28"/>
      <c r="AA1429" s="28"/>
    </row>
    <row r="1430" spans="25:27" x14ac:dyDescent="0.2">
      <c r="Y1430" s="28"/>
      <c r="Z1430" s="28"/>
      <c r="AA1430" s="28"/>
    </row>
    <row r="1431" spans="25:27" x14ac:dyDescent="0.2">
      <c r="Y1431" s="28"/>
      <c r="Z1431" s="28"/>
      <c r="AA1431" s="28"/>
    </row>
    <row r="1432" spans="25:27" x14ac:dyDescent="0.2">
      <c r="Y1432" s="28"/>
      <c r="Z1432" s="28"/>
      <c r="AA1432" s="28"/>
    </row>
    <row r="1433" spans="25:27" x14ac:dyDescent="0.2">
      <c r="Y1433" s="28"/>
      <c r="Z1433" s="28"/>
      <c r="AA1433" s="28"/>
    </row>
    <row r="1434" spans="25:27" x14ac:dyDescent="0.2">
      <c r="Y1434" s="28"/>
      <c r="Z1434" s="28"/>
      <c r="AA1434" s="28"/>
    </row>
    <row r="1435" spans="25:27" x14ac:dyDescent="0.2">
      <c r="Y1435" s="28"/>
      <c r="Z1435" s="28"/>
      <c r="AA1435" s="28"/>
    </row>
    <row r="1436" spans="25:27" x14ac:dyDescent="0.2">
      <c r="Y1436" s="28"/>
      <c r="Z1436" s="28"/>
      <c r="AA1436" s="28"/>
    </row>
    <row r="1437" spans="25:27" x14ac:dyDescent="0.2">
      <c r="Y1437" s="28"/>
      <c r="Z1437" s="28"/>
      <c r="AA1437" s="28"/>
    </row>
    <row r="1438" spans="25:27" x14ac:dyDescent="0.2">
      <c r="Y1438" s="28"/>
      <c r="Z1438" s="28"/>
      <c r="AA1438" s="28"/>
    </row>
    <row r="1439" spans="25:27" x14ac:dyDescent="0.2">
      <c r="Y1439" s="28"/>
      <c r="Z1439" s="28"/>
      <c r="AA1439" s="28"/>
    </row>
    <row r="1440" spans="25:27" x14ac:dyDescent="0.2">
      <c r="Y1440" s="28"/>
      <c r="Z1440" s="28"/>
      <c r="AA1440" s="28"/>
    </row>
    <row r="1441" spans="25:27" x14ac:dyDescent="0.2">
      <c r="Y1441" s="28"/>
      <c r="Z1441" s="28"/>
      <c r="AA1441" s="28"/>
    </row>
    <row r="1442" spans="25:27" x14ac:dyDescent="0.2">
      <c r="Y1442" s="28"/>
      <c r="Z1442" s="28"/>
      <c r="AA1442" s="28"/>
    </row>
    <row r="1443" spans="25:27" x14ac:dyDescent="0.2">
      <c r="Y1443" s="28"/>
      <c r="Z1443" s="28"/>
      <c r="AA1443" s="28"/>
    </row>
    <row r="1444" spans="25:27" x14ac:dyDescent="0.2">
      <c r="Y1444" s="28"/>
      <c r="Z1444" s="28"/>
      <c r="AA1444" s="28"/>
    </row>
    <row r="1445" spans="25:27" x14ac:dyDescent="0.2">
      <c r="Y1445" s="28"/>
      <c r="Z1445" s="28"/>
      <c r="AA1445" s="28"/>
    </row>
    <row r="1446" spans="25:27" x14ac:dyDescent="0.2">
      <c r="Y1446" s="28"/>
      <c r="Z1446" s="28"/>
      <c r="AA1446" s="28"/>
    </row>
    <row r="1447" spans="25:27" x14ac:dyDescent="0.2">
      <c r="Y1447" s="28"/>
      <c r="Z1447" s="28"/>
      <c r="AA1447" s="28"/>
    </row>
    <row r="1448" spans="25:27" x14ac:dyDescent="0.2">
      <c r="Y1448" s="28"/>
      <c r="Z1448" s="28"/>
      <c r="AA1448" s="28"/>
    </row>
    <row r="1449" spans="25:27" x14ac:dyDescent="0.2">
      <c r="Y1449" s="28"/>
      <c r="Z1449" s="28"/>
      <c r="AA1449" s="28"/>
    </row>
    <row r="1450" spans="25:27" x14ac:dyDescent="0.2">
      <c r="Y1450" s="28"/>
      <c r="Z1450" s="28"/>
      <c r="AA1450" s="28"/>
    </row>
    <row r="1451" spans="25:27" x14ac:dyDescent="0.2">
      <c r="Y1451" s="28"/>
      <c r="Z1451" s="28"/>
      <c r="AA1451" s="28"/>
    </row>
    <row r="1452" spans="25:27" x14ac:dyDescent="0.2">
      <c r="Y1452" s="28"/>
      <c r="Z1452" s="28"/>
      <c r="AA1452" s="28"/>
    </row>
    <row r="1453" spans="25:27" x14ac:dyDescent="0.2">
      <c r="Y1453" s="28"/>
      <c r="Z1453" s="28"/>
      <c r="AA1453" s="28"/>
    </row>
    <row r="1454" spans="25:27" x14ac:dyDescent="0.2">
      <c r="Y1454" s="28"/>
      <c r="Z1454" s="28"/>
      <c r="AA1454" s="28"/>
    </row>
    <row r="1455" spans="25:27" x14ac:dyDescent="0.2">
      <c r="Y1455" s="28"/>
      <c r="Z1455" s="28"/>
      <c r="AA1455" s="28"/>
    </row>
    <row r="1456" spans="25:27" x14ac:dyDescent="0.2">
      <c r="Y1456" s="28"/>
      <c r="Z1456" s="28"/>
      <c r="AA1456" s="28"/>
    </row>
    <row r="1457" spans="25:27" x14ac:dyDescent="0.2">
      <c r="Y1457" s="28"/>
      <c r="Z1457" s="28"/>
      <c r="AA1457" s="28"/>
    </row>
    <row r="1458" spans="25:27" x14ac:dyDescent="0.2">
      <c r="Y1458" s="28"/>
      <c r="Z1458" s="28"/>
      <c r="AA1458" s="28"/>
    </row>
    <row r="1459" spans="25:27" x14ac:dyDescent="0.2">
      <c r="Y1459" s="28"/>
      <c r="Z1459" s="28"/>
      <c r="AA1459" s="28"/>
    </row>
    <row r="1460" spans="25:27" x14ac:dyDescent="0.2">
      <c r="Y1460" s="28"/>
      <c r="Z1460" s="28"/>
      <c r="AA1460" s="28"/>
    </row>
    <row r="1461" spans="25:27" x14ac:dyDescent="0.2">
      <c r="Y1461" s="28"/>
      <c r="Z1461" s="28"/>
      <c r="AA1461" s="28"/>
    </row>
    <row r="1462" spans="25:27" x14ac:dyDescent="0.2">
      <c r="Y1462" s="28"/>
      <c r="Z1462" s="28"/>
      <c r="AA1462" s="28"/>
    </row>
    <row r="1463" spans="25:27" x14ac:dyDescent="0.2">
      <c r="Y1463" s="28"/>
      <c r="Z1463" s="28"/>
      <c r="AA1463" s="28"/>
    </row>
    <row r="1464" spans="25:27" x14ac:dyDescent="0.2">
      <c r="Y1464" s="28"/>
      <c r="Z1464" s="28"/>
      <c r="AA1464" s="28"/>
    </row>
    <row r="1465" spans="25:27" x14ac:dyDescent="0.2">
      <c r="Y1465" s="28"/>
      <c r="Z1465" s="28"/>
      <c r="AA1465" s="28"/>
    </row>
    <row r="1466" spans="25:27" x14ac:dyDescent="0.2">
      <c r="Y1466" s="28"/>
      <c r="Z1466" s="28"/>
      <c r="AA1466" s="28"/>
    </row>
    <row r="1467" spans="25:27" x14ac:dyDescent="0.2">
      <c r="Y1467" s="28"/>
      <c r="Z1467" s="28"/>
      <c r="AA1467" s="28"/>
    </row>
    <row r="1468" spans="25:27" x14ac:dyDescent="0.2">
      <c r="Y1468" s="28"/>
      <c r="Z1468" s="28"/>
      <c r="AA1468" s="28"/>
    </row>
    <row r="1469" spans="25:27" x14ac:dyDescent="0.2">
      <c r="Y1469" s="28"/>
      <c r="Z1469" s="28"/>
      <c r="AA1469" s="28"/>
    </row>
    <row r="1470" spans="25:27" x14ac:dyDescent="0.2">
      <c r="Y1470" s="28"/>
      <c r="Z1470" s="28"/>
      <c r="AA1470" s="28"/>
    </row>
    <row r="1471" spans="25:27" x14ac:dyDescent="0.2">
      <c r="Y1471" s="28"/>
      <c r="Z1471" s="28"/>
      <c r="AA1471" s="28"/>
    </row>
    <row r="1472" spans="25:27" x14ac:dyDescent="0.2">
      <c r="Y1472" s="28"/>
      <c r="Z1472" s="28"/>
      <c r="AA1472" s="28"/>
    </row>
    <row r="1473" spans="25:27" x14ac:dyDescent="0.2">
      <c r="Y1473" s="28"/>
      <c r="Z1473" s="28"/>
      <c r="AA1473" s="28"/>
    </row>
    <row r="1474" spans="25:27" x14ac:dyDescent="0.2">
      <c r="Y1474" s="28"/>
      <c r="Z1474" s="28"/>
      <c r="AA1474" s="28"/>
    </row>
    <row r="1475" spans="25:27" x14ac:dyDescent="0.2">
      <c r="Y1475" s="28"/>
      <c r="Z1475" s="28"/>
      <c r="AA1475" s="28"/>
    </row>
    <row r="1476" spans="25:27" x14ac:dyDescent="0.2">
      <c r="Y1476" s="28"/>
      <c r="Z1476" s="28"/>
      <c r="AA1476" s="28"/>
    </row>
    <row r="1477" spans="25:27" x14ac:dyDescent="0.2">
      <c r="Y1477" s="28"/>
      <c r="Z1477" s="28"/>
      <c r="AA1477" s="28"/>
    </row>
    <row r="1478" spans="25:27" x14ac:dyDescent="0.2">
      <c r="Y1478" s="28"/>
      <c r="Z1478" s="28"/>
      <c r="AA1478" s="28"/>
    </row>
    <row r="1479" spans="25:27" x14ac:dyDescent="0.2">
      <c r="Y1479" s="28"/>
      <c r="Z1479" s="28"/>
      <c r="AA1479" s="28"/>
    </row>
    <row r="1480" spans="25:27" x14ac:dyDescent="0.2">
      <c r="Y1480" s="28"/>
      <c r="Z1480" s="28"/>
      <c r="AA1480" s="28"/>
    </row>
    <row r="1481" spans="25:27" x14ac:dyDescent="0.2">
      <c r="Y1481" s="28"/>
      <c r="Z1481" s="28"/>
      <c r="AA1481" s="28"/>
    </row>
    <row r="1482" spans="25:27" x14ac:dyDescent="0.2">
      <c r="Y1482" s="28"/>
      <c r="Z1482" s="28"/>
      <c r="AA1482" s="28"/>
    </row>
    <row r="1483" spans="25:27" x14ac:dyDescent="0.2">
      <c r="Y1483" s="28"/>
      <c r="Z1483" s="28"/>
      <c r="AA1483" s="28"/>
    </row>
    <row r="1484" spans="25:27" x14ac:dyDescent="0.2">
      <c r="Y1484" s="28"/>
      <c r="Z1484" s="28"/>
      <c r="AA1484" s="28"/>
    </row>
    <row r="1485" spans="25:27" x14ac:dyDescent="0.2">
      <c r="Y1485" s="28"/>
      <c r="Z1485" s="28"/>
      <c r="AA1485" s="28"/>
    </row>
    <row r="1486" spans="25:27" x14ac:dyDescent="0.2">
      <c r="Y1486" s="28"/>
      <c r="Z1486" s="28"/>
      <c r="AA1486" s="28"/>
    </row>
    <row r="1487" spans="25:27" x14ac:dyDescent="0.2">
      <c r="Y1487" s="28"/>
      <c r="Z1487" s="28"/>
      <c r="AA1487" s="28"/>
    </row>
    <row r="1488" spans="25:27" x14ac:dyDescent="0.2">
      <c r="Y1488" s="28"/>
      <c r="Z1488" s="28"/>
      <c r="AA1488" s="28"/>
    </row>
    <row r="1489" spans="25:27" x14ac:dyDescent="0.2">
      <c r="Y1489" s="28"/>
      <c r="Z1489" s="28"/>
      <c r="AA1489" s="28"/>
    </row>
    <row r="1490" spans="25:27" x14ac:dyDescent="0.2">
      <c r="Y1490" s="28"/>
      <c r="Z1490" s="28"/>
      <c r="AA1490" s="28"/>
    </row>
    <row r="1491" spans="25:27" x14ac:dyDescent="0.2">
      <c r="Y1491" s="28"/>
      <c r="Z1491" s="28"/>
      <c r="AA1491" s="28"/>
    </row>
    <row r="1492" spans="25:27" x14ac:dyDescent="0.2">
      <c r="Y1492" s="28"/>
      <c r="Z1492" s="28"/>
      <c r="AA1492" s="28"/>
    </row>
    <row r="1493" spans="25:27" x14ac:dyDescent="0.2">
      <c r="Y1493" s="28"/>
      <c r="Z1493" s="28"/>
      <c r="AA1493" s="28"/>
    </row>
    <row r="1494" spans="25:27" x14ac:dyDescent="0.2">
      <c r="Y1494" s="28"/>
      <c r="Z1494" s="28"/>
      <c r="AA1494" s="28"/>
    </row>
    <row r="1495" spans="25:27" x14ac:dyDescent="0.2">
      <c r="Y1495" s="28"/>
      <c r="Z1495" s="28"/>
      <c r="AA1495" s="28"/>
    </row>
    <row r="1496" spans="25:27" x14ac:dyDescent="0.2">
      <c r="Y1496" s="28"/>
      <c r="Z1496" s="28"/>
      <c r="AA1496" s="28"/>
    </row>
    <row r="1497" spans="25:27" x14ac:dyDescent="0.2">
      <c r="Y1497" s="28"/>
      <c r="Z1497" s="28"/>
      <c r="AA1497" s="28"/>
    </row>
    <row r="1498" spans="25:27" x14ac:dyDescent="0.2">
      <c r="Y1498" s="28"/>
      <c r="Z1498" s="28"/>
      <c r="AA1498" s="28"/>
    </row>
    <row r="1499" spans="25:27" x14ac:dyDescent="0.2">
      <c r="Y1499" s="28"/>
      <c r="Z1499" s="28"/>
      <c r="AA1499" s="28"/>
    </row>
    <row r="1500" spans="25:27" x14ac:dyDescent="0.2">
      <c r="Y1500" s="28"/>
      <c r="Z1500" s="28"/>
      <c r="AA1500" s="28"/>
    </row>
    <row r="1501" spans="25:27" x14ac:dyDescent="0.2">
      <c r="Y1501" s="28"/>
      <c r="Z1501" s="28"/>
      <c r="AA1501" s="28"/>
    </row>
    <row r="1502" spans="25:27" x14ac:dyDescent="0.2">
      <c r="Y1502" s="28"/>
      <c r="Z1502" s="28"/>
      <c r="AA1502" s="28"/>
    </row>
    <row r="1503" spans="25:27" x14ac:dyDescent="0.2">
      <c r="Y1503" s="28"/>
      <c r="Z1503" s="28"/>
      <c r="AA1503" s="28"/>
    </row>
    <row r="1504" spans="25:27" x14ac:dyDescent="0.2">
      <c r="Y1504" s="28"/>
      <c r="Z1504" s="28"/>
      <c r="AA1504" s="28"/>
    </row>
    <row r="1505" spans="25:27" x14ac:dyDescent="0.2">
      <c r="Y1505" s="28"/>
      <c r="Z1505" s="28"/>
      <c r="AA1505" s="28"/>
    </row>
    <row r="1506" spans="25:27" x14ac:dyDescent="0.2">
      <c r="Y1506" s="28"/>
      <c r="Z1506" s="28"/>
      <c r="AA1506" s="28"/>
    </row>
    <row r="1507" spans="25:27" x14ac:dyDescent="0.2">
      <c r="Y1507" s="28"/>
      <c r="Z1507" s="28"/>
      <c r="AA1507" s="28"/>
    </row>
    <row r="1508" spans="25:27" x14ac:dyDescent="0.2">
      <c r="Y1508" s="28"/>
      <c r="Z1508" s="28"/>
      <c r="AA1508" s="28"/>
    </row>
    <row r="1509" spans="25:27" x14ac:dyDescent="0.2">
      <c r="Y1509" s="28"/>
      <c r="Z1509" s="28"/>
      <c r="AA1509" s="28"/>
    </row>
    <row r="1510" spans="25:27" x14ac:dyDescent="0.2">
      <c r="Y1510" s="28"/>
      <c r="Z1510" s="28"/>
      <c r="AA1510" s="28"/>
    </row>
    <row r="1511" spans="25:27" x14ac:dyDescent="0.2">
      <c r="Y1511" s="28"/>
      <c r="Z1511" s="28"/>
      <c r="AA1511" s="28"/>
    </row>
    <row r="1512" spans="25:27" x14ac:dyDescent="0.2">
      <c r="Y1512" s="28"/>
      <c r="Z1512" s="28"/>
      <c r="AA1512" s="28"/>
    </row>
    <row r="1513" spans="25:27" x14ac:dyDescent="0.2">
      <c r="Y1513" s="28"/>
      <c r="Z1513" s="28"/>
      <c r="AA1513" s="28"/>
    </row>
    <row r="1514" spans="25:27" x14ac:dyDescent="0.2">
      <c r="Y1514" s="28"/>
      <c r="Z1514" s="28"/>
      <c r="AA1514" s="28"/>
    </row>
    <row r="1515" spans="25:27" x14ac:dyDescent="0.2">
      <c r="Y1515" s="28"/>
      <c r="Z1515" s="28"/>
      <c r="AA1515" s="28"/>
    </row>
    <row r="1516" spans="25:27" x14ac:dyDescent="0.2">
      <c r="Y1516" s="28"/>
      <c r="Z1516" s="28"/>
      <c r="AA1516" s="28"/>
    </row>
    <row r="1517" spans="25:27" x14ac:dyDescent="0.2">
      <c r="Y1517" s="28"/>
      <c r="Z1517" s="28"/>
      <c r="AA1517" s="28"/>
    </row>
    <row r="1518" spans="25:27" x14ac:dyDescent="0.2">
      <c r="Y1518" s="28"/>
      <c r="Z1518" s="28"/>
      <c r="AA1518" s="28"/>
    </row>
    <row r="1519" spans="25:27" x14ac:dyDescent="0.2">
      <c r="Y1519" s="28"/>
      <c r="Z1519" s="28"/>
      <c r="AA1519" s="28"/>
    </row>
    <row r="1520" spans="25:27" x14ac:dyDescent="0.2">
      <c r="Y1520" s="28"/>
      <c r="Z1520" s="28"/>
      <c r="AA1520" s="28"/>
    </row>
    <row r="1521" spans="25:27" x14ac:dyDescent="0.2">
      <c r="Y1521" s="28"/>
      <c r="Z1521" s="28"/>
      <c r="AA1521" s="28"/>
    </row>
    <row r="1522" spans="25:27" x14ac:dyDescent="0.2">
      <c r="Y1522" s="28"/>
      <c r="Z1522" s="28"/>
      <c r="AA1522" s="28"/>
    </row>
    <row r="1523" spans="25:27" x14ac:dyDescent="0.2">
      <c r="Y1523" s="28"/>
      <c r="Z1523" s="28"/>
      <c r="AA1523" s="28"/>
    </row>
    <row r="1524" spans="25:27" x14ac:dyDescent="0.2">
      <c r="Y1524" s="28"/>
      <c r="Z1524" s="28"/>
      <c r="AA1524" s="28"/>
    </row>
    <row r="1525" spans="25:27" x14ac:dyDescent="0.2">
      <c r="Y1525" s="28"/>
      <c r="Z1525" s="28"/>
      <c r="AA1525" s="28"/>
    </row>
    <row r="1526" spans="25:27" x14ac:dyDescent="0.2">
      <c r="Y1526" s="28"/>
      <c r="Z1526" s="28"/>
      <c r="AA1526" s="28"/>
    </row>
    <row r="1527" spans="25:27" x14ac:dyDescent="0.2">
      <c r="Y1527" s="28"/>
      <c r="Z1527" s="28"/>
      <c r="AA1527" s="28"/>
    </row>
    <row r="1528" spans="25:27" x14ac:dyDescent="0.2">
      <c r="Y1528" s="28"/>
      <c r="Z1528" s="28"/>
      <c r="AA1528" s="28"/>
    </row>
    <row r="1529" spans="25:27" x14ac:dyDescent="0.2">
      <c r="Y1529" s="28"/>
      <c r="Z1529" s="28"/>
      <c r="AA1529" s="28"/>
    </row>
    <row r="1530" spans="25:27" x14ac:dyDescent="0.2">
      <c r="Y1530" s="28"/>
      <c r="Z1530" s="28"/>
      <c r="AA1530" s="28"/>
    </row>
    <row r="1531" spans="25:27" x14ac:dyDescent="0.2">
      <c r="Y1531" s="28"/>
      <c r="Z1531" s="28"/>
      <c r="AA1531" s="28"/>
    </row>
    <row r="1532" spans="25:27" x14ac:dyDescent="0.2">
      <c r="Y1532" s="28"/>
      <c r="Z1532" s="28"/>
      <c r="AA1532" s="28"/>
    </row>
    <row r="1533" spans="25:27" x14ac:dyDescent="0.2">
      <c r="Y1533" s="28"/>
      <c r="Z1533" s="28"/>
      <c r="AA1533" s="28"/>
    </row>
    <row r="1534" spans="25:27" x14ac:dyDescent="0.2">
      <c r="Y1534" s="28"/>
      <c r="Z1534" s="28"/>
      <c r="AA1534" s="28"/>
    </row>
    <row r="1535" spans="25:27" x14ac:dyDescent="0.2">
      <c r="Y1535" s="28"/>
      <c r="Z1535" s="28"/>
      <c r="AA1535" s="28"/>
    </row>
    <row r="1536" spans="25:27" x14ac:dyDescent="0.2">
      <c r="Y1536" s="28"/>
      <c r="Z1536" s="28"/>
      <c r="AA1536" s="28"/>
    </row>
    <row r="1537" spans="25:27" x14ac:dyDescent="0.2">
      <c r="Y1537" s="28"/>
      <c r="Z1537" s="28"/>
      <c r="AA1537" s="28"/>
    </row>
    <row r="1538" spans="25:27" x14ac:dyDescent="0.2">
      <c r="Y1538" s="28"/>
      <c r="Z1538" s="28"/>
      <c r="AA1538" s="28"/>
    </row>
    <row r="1539" spans="25:27" x14ac:dyDescent="0.2">
      <c r="Y1539" s="28"/>
      <c r="Z1539" s="28"/>
      <c r="AA1539" s="28"/>
    </row>
    <row r="1540" spans="25:27" x14ac:dyDescent="0.2">
      <c r="Y1540" s="28"/>
      <c r="Z1540" s="28"/>
      <c r="AA1540" s="28"/>
    </row>
    <row r="1541" spans="25:27" x14ac:dyDescent="0.2">
      <c r="Y1541" s="28"/>
      <c r="Z1541" s="28"/>
      <c r="AA1541" s="28"/>
    </row>
    <row r="1542" spans="25:27" x14ac:dyDescent="0.2">
      <c r="Y1542" s="28"/>
      <c r="Z1542" s="28"/>
      <c r="AA1542" s="28"/>
    </row>
    <row r="1543" spans="25:27" x14ac:dyDescent="0.2">
      <c r="Y1543" s="28"/>
      <c r="Z1543" s="28"/>
      <c r="AA1543" s="28"/>
    </row>
    <row r="1544" spans="25:27" x14ac:dyDescent="0.2">
      <c r="Y1544" s="28"/>
      <c r="Z1544" s="28"/>
      <c r="AA1544" s="28"/>
    </row>
    <row r="1545" spans="25:27" x14ac:dyDescent="0.2">
      <c r="Y1545" s="28"/>
      <c r="Z1545" s="28"/>
      <c r="AA1545" s="28"/>
    </row>
    <row r="1546" spans="25:27" x14ac:dyDescent="0.2">
      <c r="Y1546" s="28"/>
      <c r="Z1546" s="28"/>
      <c r="AA1546" s="28"/>
    </row>
    <row r="1547" spans="25:27" x14ac:dyDescent="0.2">
      <c r="Y1547" s="28"/>
      <c r="Z1547" s="28"/>
      <c r="AA1547" s="28"/>
    </row>
    <row r="1548" spans="25:27" x14ac:dyDescent="0.2">
      <c r="Y1548" s="28"/>
      <c r="Z1548" s="28"/>
      <c r="AA1548" s="28"/>
    </row>
    <row r="1549" spans="25:27" x14ac:dyDescent="0.2">
      <c r="Y1549" s="28"/>
      <c r="Z1549" s="28"/>
      <c r="AA1549" s="28"/>
    </row>
    <row r="1550" spans="25:27" x14ac:dyDescent="0.2">
      <c r="Y1550" s="28"/>
      <c r="Z1550" s="28"/>
      <c r="AA1550" s="28"/>
    </row>
    <row r="1551" spans="25:27" x14ac:dyDescent="0.2">
      <c r="Y1551" s="28"/>
      <c r="Z1551" s="28"/>
      <c r="AA1551" s="28"/>
    </row>
    <row r="1552" spans="25:27" x14ac:dyDescent="0.2">
      <c r="Y1552" s="28"/>
      <c r="Z1552" s="28"/>
      <c r="AA1552" s="28"/>
    </row>
    <row r="1553" spans="25:27" x14ac:dyDescent="0.2">
      <c r="Y1553" s="28"/>
      <c r="Z1553" s="28"/>
      <c r="AA1553" s="28"/>
    </row>
    <row r="1554" spans="25:27" x14ac:dyDescent="0.2">
      <c r="Y1554" s="28"/>
      <c r="Z1554" s="28"/>
      <c r="AA1554" s="28"/>
    </row>
    <row r="1555" spans="25:27" x14ac:dyDescent="0.2">
      <c r="Y1555" s="28"/>
      <c r="Z1555" s="28"/>
      <c r="AA1555" s="28"/>
    </row>
    <row r="1556" spans="25:27" x14ac:dyDescent="0.2">
      <c r="Y1556" s="28"/>
      <c r="Z1556" s="28"/>
      <c r="AA1556" s="28"/>
    </row>
    <row r="1557" spans="25:27" x14ac:dyDescent="0.2">
      <c r="Y1557" s="28"/>
      <c r="Z1557" s="28"/>
      <c r="AA1557" s="28"/>
    </row>
    <row r="1558" spans="25:27" x14ac:dyDescent="0.2">
      <c r="Y1558" s="28"/>
      <c r="Z1558" s="28"/>
      <c r="AA1558" s="28"/>
    </row>
    <row r="1559" spans="25:27" x14ac:dyDescent="0.2">
      <c r="Y1559" s="28"/>
      <c r="Z1559" s="28"/>
      <c r="AA1559" s="28"/>
    </row>
    <row r="1560" spans="25:27" x14ac:dyDescent="0.2">
      <c r="Y1560" s="28"/>
      <c r="Z1560" s="28"/>
      <c r="AA1560" s="28"/>
    </row>
    <row r="1561" spans="25:27" x14ac:dyDescent="0.2">
      <c r="Y1561" s="28"/>
      <c r="Z1561" s="28"/>
      <c r="AA1561" s="28"/>
    </row>
    <row r="1562" spans="25:27" x14ac:dyDescent="0.2">
      <c r="Y1562" s="28"/>
      <c r="Z1562" s="28"/>
      <c r="AA1562" s="28"/>
    </row>
    <row r="1563" spans="25:27" x14ac:dyDescent="0.2">
      <c r="Y1563" s="28"/>
      <c r="Z1563" s="28"/>
      <c r="AA1563" s="28"/>
    </row>
    <row r="1564" spans="25:27" x14ac:dyDescent="0.2">
      <c r="Y1564" s="28"/>
      <c r="Z1564" s="28"/>
      <c r="AA1564" s="28"/>
    </row>
    <row r="1565" spans="25:27" x14ac:dyDescent="0.2">
      <c r="Y1565" s="28"/>
      <c r="Z1565" s="28"/>
      <c r="AA1565" s="28"/>
    </row>
    <row r="1566" spans="25:27" x14ac:dyDescent="0.2">
      <c r="Y1566" s="28"/>
      <c r="Z1566" s="28"/>
      <c r="AA1566" s="28"/>
    </row>
    <row r="1567" spans="25:27" x14ac:dyDescent="0.2">
      <c r="Y1567" s="28"/>
      <c r="Z1567" s="28"/>
      <c r="AA1567" s="28"/>
    </row>
    <row r="1568" spans="25:27" x14ac:dyDescent="0.2">
      <c r="Y1568" s="28"/>
      <c r="Z1568" s="28"/>
      <c r="AA1568" s="28"/>
    </row>
    <row r="1569" spans="25:27" x14ac:dyDescent="0.2">
      <c r="Y1569" s="28"/>
      <c r="Z1569" s="28"/>
      <c r="AA1569" s="28"/>
    </row>
    <row r="1570" spans="25:27" x14ac:dyDescent="0.2">
      <c r="Y1570" s="28"/>
      <c r="Z1570" s="28"/>
      <c r="AA1570" s="28"/>
    </row>
    <row r="1571" spans="25:27" x14ac:dyDescent="0.2">
      <c r="Y1571" s="28"/>
      <c r="Z1571" s="28"/>
      <c r="AA1571" s="28"/>
    </row>
    <row r="1572" spans="25:27" x14ac:dyDescent="0.2">
      <c r="Y1572" s="28"/>
      <c r="Z1572" s="28"/>
      <c r="AA1572" s="28"/>
    </row>
    <row r="1573" spans="25:27" x14ac:dyDescent="0.2">
      <c r="Y1573" s="28"/>
      <c r="Z1573" s="28"/>
      <c r="AA1573" s="28"/>
    </row>
    <row r="1574" spans="25:27" x14ac:dyDescent="0.2">
      <c r="Y1574" s="28"/>
      <c r="Z1574" s="28"/>
      <c r="AA1574" s="28"/>
    </row>
    <row r="1575" spans="25:27" x14ac:dyDescent="0.2">
      <c r="Y1575" s="28"/>
      <c r="Z1575" s="28"/>
      <c r="AA1575" s="28"/>
    </row>
    <row r="1576" spans="25:27" x14ac:dyDescent="0.2">
      <c r="Y1576" s="28"/>
      <c r="Z1576" s="28"/>
      <c r="AA1576" s="28"/>
    </row>
    <row r="1577" spans="25:27" x14ac:dyDescent="0.2">
      <c r="Y1577" s="28"/>
      <c r="Z1577" s="28"/>
      <c r="AA1577" s="28"/>
    </row>
    <row r="1578" spans="25:27" x14ac:dyDescent="0.2">
      <c r="Y1578" s="28"/>
      <c r="Z1578" s="28"/>
      <c r="AA1578" s="28"/>
    </row>
    <row r="1579" spans="25:27" x14ac:dyDescent="0.2">
      <c r="Y1579" s="28"/>
      <c r="Z1579" s="28"/>
      <c r="AA1579" s="28"/>
    </row>
    <row r="1580" spans="25:27" x14ac:dyDescent="0.2">
      <c r="Y1580" s="28"/>
      <c r="Z1580" s="28"/>
      <c r="AA1580" s="28"/>
    </row>
    <row r="1581" spans="25:27" x14ac:dyDescent="0.2">
      <c r="Y1581" s="28"/>
      <c r="Z1581" s="28"/>
      <c r="AA1581" s="28"/>
    </row>
    <row r="1582" spans="25:27" x14ac:dyDescent="0.2">
      <c r="Y1582" s="28"/>
      <c r="Z1582" s="28"/>
      <c r="AA1582" s="28"/>
    </row>
    <row r="1583" spans="25:27" x14ac:dyDescent="0.2">
      <c r="Y1583" s="28"/>
      <c r="Z1583" s="28"/>
      <c r="AA1583" s="28"/>
    </row>
    <row r="1584" spans="25:27" x14ac:dyDescent="0.2">
      <c r="Y1584" s="28"/>
      <c r="Z1584" s="28"/>
      <c r="AA1584" s="28"/>
    </row>
    <row r="1585" spans="25:27" x14ac:dyDescent="0.2">
      <c r="Y1585" s="28"/>
      <c r="Z1585" s="28"/>
      <c r="AA1585" s="28"/>
    </row>
    <row r="1586" spans="25:27" x14ac:dyDescent="0.2">
      <c r="Y1586" s="28"/>
      <c r="Z1586" s="28"/>
      <c r="AA1586" s="28"/>
    </row>
    <row r="1587" spans="25:27" x14ac:dyDescent="0.2">
      <c r="Y1587" s="28"/>
      <c r="Z1587" s="28"/>
      <c r="AA1587" s="28"/>
    </row>
    <row r="1588" spans="25:27" x14ac:dyDescent="0.2">
      <c r="Y1588" s="28"/>
      <c r="Z1588" s="28"/>
      <c r="AA1588" s="28"/>
    </row>
    <row r="1589" spans="25:27" x14ac:dyDescent="0.2">
      <c r="Y1589" s="28"/>
      <c r="Z1589" s="28"/>
      <c r="AA1589" s="28"/>
    </row>
    <row r="1590" spans="25:27" x14ac:dyDescent="0.2">
      <c r="Y1590" s="28"/>
      <c r="Z1590" s="28"/>
      <c r="AA1590" s="28"/>
    </row>
    <row r="1591" spans="25:27" x14ac:dyDescent="0.2">
      <c r="Y1591" s="28"/>
      <c r="Z1591" s="28"/>
      <c r="AA1591" s="28"/>
    </row>
    <row r="1592" spans="25:27" x14ac:dyDescent="0.2">
      <c r="Y1592" s="28"/>
      <c r="Z1592" s="28"/>
      <c r="AA1592" s="28"/>
    </row>
    <row r="1593" spans="25:27" x14ac:dyDescent="0.2">
      <c r="Y1593" s="28"/>
      <c r="Z1593" s="28"/>
      <c r="AA1593" s="28"/>
    </row>
    <row r="1594" spans="25:27" x14ac:dyDescent="0.2">
      <c r="Y1594" s="28"/>
      <c r="Z1594" s="28"/>
      <c r="AA1594" s="28"/>
    </row>
    <row r="1595" spans="25:27" x14ac:dyDescent="0.2">
      <c r="Y1595" s="28"/>
      <c r="Z1595" s="28"/>
      <c r="AA1595" s="28"/>
    </row>
    <row r="1596" spans="25:27" x14ac:dyDescent="0.2">
      <c r="Y1596" s="28"/>
      <c r="Z1596" s="28"/>
      <c r="AA1596" s="28"/>
    </row>
    <row r="1597" spans="25:27" x14ac:dyDescent="0.2">
      <c r="Y1597" s="28"/>
      <c r="Z1597" s="28"/>
      <c r="AA1597" s="28"/>
    </row>
    <row r="1598" spans="25:27" x14ac:dyDescent="0.2">
      <c r="Y1598" s="28"/>
      <c r="Z1598" s="28"/>
      <c r="AA1598" s="28"/>
    </row>
    <row r="1599" spans="25:27" x14ac:dyDescent="0.2">
      <c r="Y1599" s="28"/>
      <c r="Z1599" s="28"/>
      <c r="AA1599" s="28"/>
    </row>
    <row r="1600" spans="25:27" x14ac:dyDescent="0.2">
      <c r="Y1600" s="28"/>
      <c r="Z1600" s="28"/>
      <c r="AA1600" s="28"/>
    </row>
    <row r="1601" spans="25:27" x14ac:dyDescent="0.2">
      <c r="Y1601" s="28"/>
      <c r="Z1601" s="28"/>
      <c r="AA1601" s="28"/>
    </row>
    <row r="1602" spans="25:27" x14ac:dyDescent="0.2">
      <c r="Y1602" s="28"/>
      <c r="Z1602" s="28"/>
      <c r="AA1602" s="28"/>
    </row>
    <row r="1603" spans="25:27" x14ac:dyDescent="0.2">
      <c r="Y1603" s="28"/>
      <c r="Z1603" s="28"/>
      <c r="AA1603" s="28"/>
    </row>
    <row r="1604" spans="25:27" x14ac:dyDescent="0.2">
      <c r="Y1604" s="28"/>
      <c r="Z1604" s="28"/>
      <c r="AA1604" s="28"/>
    </row>
    <row r="1605" spans="25:27" x14ac:dyDescent="0.2">
      <c r="Y1605" s="28"/>
      <c r="Z1605" s="28"/>
      <c r="AA1605" s="28"/>
    </row>
    <row r="1606" spans="25:27" x14ac:dyDescent="0.2">
      <c r="Y1606" s="28"/>
      <c r="Z1606" s="28"/>
      <c r="AA1606" s="28"/>
    </row>
    <row r="1607" spans="25:27" x14ac:dyDescent="0.2">
      <c r="Y1607" s="28"/>
      <c r="Z1607" s="28"/>
      <c r="AA1607" s="28"/>
    </row>
    <row r="1608" spans="25:27" x14ac:dyDescent="0.2">
      <c r="Y1608" s="28"/>
      <c r="Z1608" s="28"/>
      <c r="AA1608" s="28"/>
    </row>
    <row r="1609" spans="25:27" x14ac:dyDescent="0.2">
      <c r="Y1609" s="28"/>
      <c r="Z1609" s="28"/>
      <c r="AA1609" s="28"/>
    </row>
    <row r="1610" spans="25:27" x14ac:dyDescent="0.2">
      <c r="Y1610" s="28"/>
      <c r="Z1610" s="28"/>
      <c r="AA1610" s="28"/>
    </row>
    <row r="1611" spans="25:27" x14ac:dyDescent="0.2">
      <c r="Y1611" s="28"/>
      <c r="Z1611" s="28"/>
      <c r="AA1611" s="28"/>
    </row>
    <row r="1612" spans="25:27" x14ac:dyDescent="0.2">
      <c r="Y1612" s="28"/>
      <c r="Z1612" s="28"/>
      <c r="AA1612" s="28"/>
    </row>
    <row r="1613" spans="25:27" x14ac:dyDescent="0.2">
      <c r="Y1613" s="28"/>
      <c r="Z1613" s="28"/>
      <c r="AA1613" s="28"/>
    </row>
    <row r="1614" spans="25:27" x14ac:dyDescent="0.2">
      <c r="Y1614" s="28"/>
      <c r="Z1614" s="28"/>
      <c r="AA1614" s="28"/>
    </row>
    <row r="1615" spans="25:27" x14ac:dyDescent="0.2">
      <c r="Y1615" s="28"/>
      <c r="Z1615" s="28"/>
      <c r="AA1615" s="28"/>
    </row>
    <row r="1616" spans="25:27" x14ac:dyDescent="0.2">
      <c r="Y1616" s="28"/>
      <c r="Z1616" s="28"/>
      <c r="AA1616" s="28"/>
    </row>
    <row r="1617" spans="25:27" x14ac:dyDescent="0.2">
      <c r="Y1617" s="28"/>
      <c r="Z1617" s="28"/>
      <c r="AA1617" s="28"/>
    </row>
    <row r="1618" spans="25:27" x14ac:dyDescent="0.2">
      <c r="Y1618" s="28"/>
      <c r="Z1618" s="28"/>
      <c r="AA1618" s="28"/>
    </row>
    <row r="1619" spans="25:27" x14ac:dyDescent="0.2">
      <c r="Y1619" s="28"/>
      <c r="Z1619" s="28"/>
      <c r="AA1619" s="28"/>
    </row>
    <row r="1620" spans="25:27" x14ac:dyDescent="0.2">
      <c r="Y1620" s="28"/>
      <c r="Z1620" s="28"/>
      <c r="AA1620" s="28"/>
    </row>
    <row r="1621" spans="25:27" x14ac:dyDescent="0.2">
      <c r="Y1621" s="28"/>
      <c r="Z1621" s="28"/>
      <c r="AA1621" s="28"/>
    </row>
    <row r="1622" spans="25:27" x14ac:dyDescent="0.2">
      <c r="Y1622" s="28"/>
      <c r="Z1622" s="28"/>
      <c r="AA1622" s="28"/>
    </row>
    <row r="1623" spans="25:27" x14ac:dyDescent="0.2">
      <c r="Y1623" s="28"/>
      <c r="Z1623" s="28"/>
      <c r="AA1623" s="28"/>
    </row>
    <row r="1624" spans="25:27" x14ac:dyDescent="0.2">
      <c r="Y1624" s="28"/>
      <c r="Z1624" s="28"/>
      <c r="AA1624" s="28"/>
    </row>
    <row r="1625" spans="25:27" x14ac:dyDescent="0.2">
      <c r="Y1625" s="28"/>
      <c r="Z1625" s="28"/>
      <c r="AA1625" s="28"/>
    </row>
    <row r="1626" spans="25:27" x14ac:dyDescent="0.2">
      <c r="Y1626" s="28"/>
      <c r="Z1626" s="28"/>
      <c r="AA1626" s="28"/>
    </row>
    <row r="1627" spans="25:27" x14ac:dyDescent="0.2">
      <c r="Y1627" s="28"/>
      <c r="Z1627" s="28"/>
      <c r="AA1627" s="28"/>
    </row>
    <row r="1628" spans="25:27" x14ac:dyDescent="0.2">
      <c r="Y1628" s="28"/>
      <c r="Z1628" s="28"/>
      <c r="AA1628" s="28"/>
    </row>
    <row r="1629" spans="25:27" x14ac:dyDescent="0.2">
      <c r="Y1629" s="28"/>
      <c r="Z1629" s="28"/>
      <c r="AA1629" s="28"/>
    </row>
    <row r="1630" spans="25:27" x14ac:dyDescent="0.2">
      <c r="Y1630" s="28"/>
      <c r="Z1630" s="28"/>
      <c r="AA1630" s="28"/>
    </row>
    <row r="1631" spans="25:27" x14ac:dyDescent="0.2">
      <c r="Y1631" s="28"/>
      <c r="Z1631" s="28"/>
      <c r="AA1631" s="28"/>
    </row>
    <row r="1632" spans="25:27" x14ac:dyDescent="0.2">
      <c r="Y1632" s="28"/>
      <c r="Z1632" s="28"/>
      <c r="AA1632" s="28"/>
    </row>
    <row r="1633" spans="25:27" x14ac:dyDescent="0.2">
      <c r="Y1633" s="28"/>
      <c r="Z1633" s="28"/>
      <c r="AA1633" s="28"/>
    </row>
    <row r="1634" spans="25:27" x14ac:dyDescent="0.2">
      <c r="Y1634" s="28"/>
      <c r="Z1634" s="28"/>
      <c r="AA1634" s="28"/>
    </row>
    <row r="1635" spans="25:27" x14ac:dyDescent="0.2">
      <c r="Y1635" s="28"/>
      <c r="Z1635" s="28"/>
      <c r="AA1635" s="28"/>
    </row>
    <row r="1636" spans="25:27" x14ac:dyDescent="0.2">
      <c r="Y1636" s="28"/>
      <c r="Z1636" s="28"/>
      <c r="AA1636" s="28"/>
    </row>
    <row r="1637" spans="25:27" x14ac:dyDescent="0.2">
      <c r="Y1637" s="28"/>
      <c r="Z1637" s="28"/>
      <c r="AA1637" s="28"/>
    </row>
    <row r="1638" spans="25:27" x14ac:dyDescent="0.2">
      <c r="Y1638" s="28"/>
      <c r="Z1638" s="28"/>
      <c r="AA1638" s="28"/>
    </row>
    <row r="1639" spans="25:27" x14ac:dyDescent="0.2">
      <c r="Y1639" s="28"/>
      <c r="Z1639" s="28"/>
      <c r="AA1639" s="28"/>
    </row>
    <row r="1640" spans="25:27" x14ac:dyDescent="0.2">
      <c r="Y1640" s="28"/>
      <c r="Z1640" s="28"/>
      <c r="AA1640" s="28"/>
    </row>
    <row r="1641" spans="25:27" x14ac:dyDescent="0.2">
      <c r="Y1641" s="28"/>
      <c r="Z1641" s="28"/>
      <c r="AA1641" s="28"/>
    </row>
    <row r="1642" spans="25:27" x14ac:dyDescent="0.2">
      <c r="Y1642" s="28"/>
      <c r="Z1642" s="28"/>
      <c r="AA1642" s="28"/>
    </row>
    <row r="1643" spans="25:27" x14ac:dyDescent="0.2">
      <c r="Y1643" s="28"/>
      <c r="Z1643" s="28"/>
      <c r="AA1643" s="28"/>
    </row>
    <row r="1644" spans="25:27" x14ac:dyDescent="0.2">
      <c r="Y1644" s="28"/>
      <c r="Z1644" s="28"/>
      <c r="AA1644" s="28"/>
    </row>
    <row r="1645" spans="25:27" x14ac:dyDescent="0.2">
      <c r="Y1645" s="28"/>
      <c r="Z1645" s="28"/>
      <c r="AA1645" s="28"/>
    </row>
    <row r="1646" spans="25:27" x14ac:dyDescent="0.2">
      <c r="Y1646" s="28"/>
      <c r="Z1646" s="28"/>
      <c r="AA1646" s="28"/>
    </row>
    <row r="1647" spans="25:27" x14ac:dyDescent="0.2">
      <c r="Y1647" s="28"/>
      <c r="Z1647" s="28"/>
      <c r="AA1647" s="28"/>
    </row>
    <row r="1648" spans="25:27" x14ac:dyDescent="0.2">
      <c r="Y1648" s="28"/>
      <c r="Z1648" s="28"/>
      <c r="AA1648" s="28"/>
    </row>
    <row r="1649" spans="25:27" x14ac:dyDescent="0.2">
      <c r="Y1649" s="28"/>
      <c r="Z1649" s="28"/>
      <c r="AA1649" s="28"/>
    </row>
    <row r="1650" spans="25:27" x14ac:dyDescent="0.2">
      <c r="Y1650" s="28"/>
      <c r="Z1650" s="28"/>
      <c r="AA1650" s="28"/>
    </row>
    <row r="1651" spans="25:27" x14ac:dyDescent="0.2">
      <c r="Y1651" s="28"/>
      <c r="Z1651" s="28"/>
      <c r="AA1651" s="28"/>
    </row>
    <row r="1652" spans="25:27" x14ac:dyDescent="0.2">
      <c r="Y1652" s="28"/>
      <c r="Z1652" s="28"/>
      <c r="AA1652" s="28"/>
    </row>
    <row r="1653" spans="25:27" x14ac:dyDescent="0.2">
      <c r="Y1653" s="28"/>
      <c r="Z1653" s="28"/>
      <c r="AA1653" s="28"/>
    </row>
    <row r="1654" spans="25:27" x14ac:dyDescent="0.2">
      <c r="Y1654" s="28"/>
      <c r="Z1654" s="28"/>
      <c r="AA1654" s="28"/>
    </row>
    <row r="1655" spans="25:27" x14ac:dyDescent="0.2">
      <c r="Y1655" s="28"/>
      <c r="Z1655" s="28"/>
      <c r="AA1655" s="28"/>
    </row>
    <row r="1656" spans="25:27" x14ac:dyDescent="0.2">
      <c r="Y1656" s="28"/>
      <c r="Z1656" s="28"/>
      <c r="AA1656" s="28"/>
    </row>
    <row r="1657" spans="25:27" x14ac:dyDescent="0.2">
      <c r="Y1657" s="28"/>
      <c r="Z1657" s="28"/>
      <c r="AA1657" s="28"/>
    </row>
    <row r="1658" spans="25:27" x14ac:dyDescent="0.2">
      <c r="Y1658" s="28"/>
      <c r="Z1658" s="28"/>
      <c r="AA1658" s="28"/>
    </row>
    <row r="1659" spans="25:27" x14ac:dyDescent="0.2">
      <c r="Y1659" s="28"/>
      <c r="Z1659" s="28"/>
      <c r="AA1659" s="28"/>
    </row>
    <row r="1660" spans="25:27" x14ac:dyDescent="0.2">
      <c r="Y1660" s="28"/>
      <c r="Z1660" s="28"/>
      <c r="AA1660" s="28"/>
    </row>
    <row r="1661" spans="25:27" x14ac:dyDescent="0.2">
      <c r="Y1661" s="28"/>
      <c r="Z1661" s="28"/>
      <c r="AA1661" s="28"/>
    </row>
    <row r="1662" spans="25:27" x14ac:dyDescent="0.2">
      <c r="Y1662" s="28"/>
      <c r="Z1662" s="28"/>
      <c r="AA1662" s="28"/>
    </row>
    <row r="1663" spans="25:27" x14ac:dyDescent="0.2">
      <c r="Y1663" s="28"/>
      <c r="Z1663" s="28"/>
      <c r="AA1663" s="28"/>
    </row>
    <row r="1664" spans="25:27" x14ac:dyDescent="0.2">
      <c r="Y1664" s="28"/>
      <c r="Z1664" s="28"/>
      <c r="AA1664" s="28"/>
    </row>
    <row r="1665" spans="25:27" x14ac:dyDescent="0.2">
      <c r="Y1665" s="28"/>
      <c r="Z1665" s="28"/>
      <c r="AA1665" s="28"/>
    </row>
    <row r="1666" spans="25:27" x14ac:dyDescent="0.2">
      <c r="Y1666" s="28"/>
      <c r="Z1666" s="28"/>
      <c r="AA1666" s="28"/>
    </row>
    <row r="1667" spans="25:27" x14ac:dyDescent="0.2">
      <c r="Y1667" s="28"/>
      <c r="Z1667" s="28"/>
      <c r="AA1667" s="28"/>
    </row>
    <row r="1668" spans="25:27" x14ac:dyDescent="0.2">
      <c r="Y1668" s="28"/>
      <c r="Z1668" s="28"/>
      <c r="AA1668" s="28"/>
    </row>
    <row r="1669" spans="25:27" x14ac:dyDescent="0.2">
      <c r="Y1669" s="28"/>
      <c r="Z1669" s="28"/>
      <c r="AA1669" s="28"/>
    </row>
    <row r="1670" spans="25:27" x14ac:dyDescent="0.2">
      <c r="Y1670" s="28"/>
      <c r="Z1670" s="28"/>
      <c r="AA1670" s="28"/>
    </row>
    <row r="1671" spans="25:27" x14ac:dyDescent="0.2">
      <c r="Y1671" s="28"/>
      <c r="Z1671" s="28"/>
      <c r="AA1671" s="28"/>
    </row>
    <row r="1672" spans="25:27" x14ac:dyDescent="0.2">
      <c r="Y1672" s="28"/>
      <c r="Z1672" s="28"/>
      <c r="AA1672" s="28"/>
    </row>
    <row r="1673" spans="25:27" x14ac:dyDescent="0.2">
      <c r="Y1673" s="28"/>
      <c r="Z1673" s="28"/>
      <c r="AA1673" s="28"/>
    </row>
    <row r="1674" spans="25:27" x14ac:dyDescent="0.2">
      <c r="Y1674" s="28"/>
      <c r="Z1674" s="28"/>
      <c r="AA1674" s="28"/>
    </row>
    <row r="1675" spans="25:27" x14ac:dyDescent="0.2">
      <c r="Y1675" s="28"/>
      <c r="Z1675" s="28"/>
      <c r="AA1675" s="28"/>
    </row>
    <row r="1676" spans="25:27" x14ac:dyDescent="0.2">
      <c r="Y1676" s="28"/>
      <c r="Z1676" s="28"/>
      <c r="AA1676" s="28"/>
    </row>
    <row r="1677" spans="25:27" x14ac:dyDescent="0.2">
      <c r="Y1677" s="28"/>
      <c r="Z1677" s="28"/>
      <c r="AA1677" s="28"/>
    </row>
    <row r="1678" spans="25:27" x14ac:dyDescent="0.2">
      <c r="Y1678" s="28"/>
      <c r="Z1678" s="28"/>
      <c r="AA1678" s="28"/>
    </row>
    <row r="1679" spans="25:27" x14ac:dyDescent="0.2">
      <c r="Y1679" s="28"/>
      <c r="Z1679" s="28"/>
      <c r="AA1679" s="28"/>
    </row>
    <row r="1680" spans="25:27" x14ac:dyDescent="0.2">
      <c r="Y1680" s="28"/>
      <c r="Z1680" s="28"/>
      <c r="AA1680" s="28"/>
    </row>
    <row r="1681" spans="25:27" x14ac:dyDescent="0.2">
      <c r="Y1681" s="28"/>
      <c r="Z1681" s="28"/>
      <c r="AA1681" s="28"/>
    </row>
    <row r="1682" spans="25:27" x14ac:dyDescent="0.2">
      <c r="Y1682" s="28"/>
      <c r="Z1682" s="28"/>
      <c r="AA1682" s="28"/>
    </row>
    <row r="1683" spans="25:27" x14ac:dyDescent="0.2">
      <c r="Y1683" s="28"/>
      <c r="Z1683" s="28"/>
      <c r="AA1683" s="28"/>
    </row>
    <row r="1684" spans="25:27" x14ac:dyDescent="0.2">
      <c r="Y1684" s="28"/>
      <c r="Z1684" s="28"/>
      <c r="AA1684" s="28"/>
    </row>
    <row r="1685" spans="25:27" x14ac:dyDescent="0.2">
      <c r="Y1685" s="28"/>
      <c r="Z1685" s="28"/>
      <c r="AA1685" s="28"/>
    </row>
    <row r="1686" spans="25:27" x14ac:dyDescent="0.2">
      <c r="Y1686" s="28"/>
      <c r="Z1686" s="28"/>
      <c r="AA1686" s="28"/>
    </row>
    <row r="1687" spans="25:27" x14ac:dyDescent="0.2">
      <c r="Y1687" s="28"/>
      <c r="Z1687" s="28"/>
      <c r="AA1687" s="28"/>
    </row>
    <row r="1688" spans="25:27" x14ac:dyDescent="0.2">
      <c r="Y1688" s="28"/>
      <c r="Z1688" s="28"/>
      <c r="AA1688" s="28"/>
    </row>
    <row r="1689" spans="25:27" x14ac:dyDescent="0.2">
      <c r="Y1689" s="28"/>
      <c r="Z1689" s="28"/>
      <c r="AA1689" s="28"/>
    </row>
    <row r="1690" spans="25:27" x14ac:dyDescent="0.2">
      <c r="Y1690" s="28"/>
      <c r="Z1690" s="28"/>
      <c r="AA1690" s="28"/>
    </row>
    <row r="1691" spans="25:27" x14ac:dyDescent="0.2">
      <c r="Y1691" s="28"/>
      <c r="Z1691" s="28"/>
      <c r="AA1691" s="28"/>
    </row>
    <row r="1692" spans="25:27" x14ac:dyDescent="0.2">
      <c r="Y1692" s="28"/>
      <c r="Z1692" s="28"/>
      <c r="AA1692" s="28"/>
    </row>
    <row r="1693" spans="25:27" x14ac:dyDescent="0.2">
      <c r="Y1693" s="28"/>
      <c r="Z1693" s="28"/>
      <c r="AA1693" s="28"/>
    </row>
    <row r="1694" spans="25:27" x14ac:dyDescent="0.2">
      <c r="Y1694" s="28"/>
      <c r="Z1694" s="28"/>
      <c r="AA1694" s="28"/>
    </row>
    <row r="1695" spans="25:27" x14ac:dyDescent="0.2">
      <c r="Y1695" s="28"/>
      <c r="Z1695" s="28"/>
      <c r="AA1695" s="28"/>
    </row>
    <row r="1696" spans="25:27" x14ac:dyDescent="0.2">
      <c r="Y1696" s="28"/>
      <c r="Z1696" s="28"/>
      <c r="AA1696" s="28"/>
    </row>
    <row r="1697" spans="25:27" x14ac:dyDescent="0.2">
      <c r="Y1697" s="28"/>
      <c r="Z1697" s="28"/>
      <c r="AA1697" s="28"/>
    </row>
    <row r="1698" spans="25:27" x14ac:dyDescent="0.2">
      <c r="Y1698" s="28"/>
      <c r="Z1698" s="28"/>
      <c r="AA1698" s="28"/>
    </row>
    <row r="1699" spans="25:27" x14ac:dyDescent="0.2">
      <c r="Y1699" s="28"/>
      <c r="Z1699" s="28"/>
      <c r="AA1699" s="28"/>
    </row>
    <row r="1700" spans="25:27" x14ac:dyDescent="0.2">
      <c r="Y1700" s="28"/>
      <c r="Z1700" s="28"/>
      <c r="AA1700" s="28"/>
    </row>
    <row r="1701" spans="25:27" x14ac:dyDescent="0.2">
      <c r="Y1701" s="28"/>
      <c r="Z1701" s="28"/>
      <c r="AA1701" s="28"/>
    </row>
    <row r="1702" spans="25:27" x14ac:dyDescent="0.2">
      <c r="Y1702" s="28"/>
      <c r="Z1702" s="28"/>
      <c r="AA1702" s="28"/>
    </row>
    <row r="1703" spans="25:27" x14ac:dyDescent="0.2">
      <c r="Y1703" s="28"/>
      <c r="Z1703" s="28"/>
      <c r="AA1703" s="28"/>
    </row>
    <row r="1704" spans="25:27" x14ac:dyDescent="0.2">
      <c r="Y1704" s="28"/>
      <c r="Z1704" s="28"/>
      <c r="AA1704" s="28"/>
    </row>
    <row r="1705" spans="25:27" x14ac:dyDescent="0.2">
      <c r="Y1705" s="28"/>
      <c r="Z1705" s="28"/>
      <c r="AA1705" s="28"/>
    </row>
    <row r="1706" spans="25:27" x14ac:dyDescent="0.2">
      <c r="Y1706" s="28"/>
      <c r="Z1706" s="28"/>
      <c r="AA1706" s="28"/>
    </row>
    <row r="1707" spans="25:27" x14ac:dyDescent="0.2">
      <c r="Y1707" s="28"/>
      <c r="Z1707" s="28"/>
      <c r="AA1707" s="28"/>
    </row>
    <row r="1708" spans="25:27" x14ac:dyDescent="0.2">
      <c r="Y1708" s="28"/>
      <c r="Z1708" s="28"/>
      <c r="AA1708" s="28"/>
    </row>
    <row r="1709" spans="25:27" x14ac:dyDescent="0.2">
      <c r="Y1709" s="28"/>
      <c r="Z1709" s="28"/>
      <c r="AA1709" s="28"/>
    </row>
    <row r="1710" spans="25:27" x14ac:dyDescent="0.2">
      <c r="Y1710" s="28"/>
      <c r="Z1710" s="28"/>
      <c r="AA1710" s="28"/>
    </row>
    <row r="1711" spans="25:27" x14ac:dyDescent="0.2">
      <c r="Y1711" s="28"/>
      <c r="Z1711" s="28"/>
      <c r="AA1711" s="28"/>
    </row>
    <row r="1712" spans="25:27" x14ac:dyDescent="0.2">
      <c r="Y1712" s="28"/>
      <c r="Z1712" s="28"/>
      <c r="AA1712" s="28"/>
    </row>
    <row r="1713" spans="25:27" x14ac:dyDescent="0.2">
      <c r="Y1713" s="28"/>
      <c r="Z1713" s="28"/>
      <c r="AA1713" s="28"/>
    </row>
    <row r="1714" spans="25:27" x14ac:dyDescent="0.2">
      <c r="Y1714" s="28"/>
      <c r="Z1714" s="28"/>
      <c r="AA1714" s="28"/>
    </row>
    <row r="1715" spans="25:27" x14ac:dyDescent="0.2">
      <c r="Y1715" s="28"/>
      <c r="Z1715" s="28"/>
      <c r="AA1715" s="28"/>
    </row>
    <row r="1716" spans="25:27" x14ac:dyDescent="0.2">
      <c r="Y1716" s="28"/>
      <c r="Z1716" s="28"/>
      <c r="AA1716" s="28"/>
    </row>
    <row r="1717" spans="25:27" x14ac:dyDescent="0.2">
      <c r="Y1717" s="28"/>
      <c r="Z1717" s="28"/>
      <c r="AA1717" s="28"/>
    </row>
    <row r="1718" spans="25:27" x14ac:dyDescent="0.2">
      <c r="Y1718" s="28"/>
      <c r="Z1718" s="28"/>
      <c r="AA1718" s="28"/>
    </row>
    <row r="1719" spans="25:27" x14ac:dyDescent="0.2">
      <c r="Y1719" s="28"/>
      <c r="Z1719" s="28"/>
      <c r="AA1719" s="28"/>
    </row>
    <row r="1720" spans="25:27" x14ac:dyDescent="0.2">
      <c r="Y1720" s="28"/>
      <c r="Z1720" s="28"/>
      <c r="AA1720" s="28"/>
    </row>
    <row r="1721" spans="25:27" x14ac:dyDescent="0.2">
      <c r="Y1721" s="28"/>
      <c r="Z1721" s="28"/>
      <c r="AA1721" s="28"/>
    </row>
    <row r="1722" spans="25:27" x14ac:dyDescent="0.2">
      <c r="Y1722" s="28"/>
      <c r="Z1722" s="28"/>
      <c r="AA1722" s="28"/>
    </row>
    <row r="1723" spans="25:27" x14ac:dyDescent="0.2">
      <c r="Y1723" s="28"/>
      <c r="Z1723" s="28"/>
      <c r="AA1723" s="28"/>
    </row>
    <row r="1724" spans="25:27" x14ac:dyDescent="0.2">
      <c r="Y1724" s="28"/>
      <c r="Z1724" s="28"/>
      <c r="AA1724" s="28"/>
    </row>
    <row r="1725" spans="25:27" x14ac:dyDescent="0.2">
      <c r="Y1725" s="28"/>
      <c r="Z1725" s="28"/>
      <c r="AA1725" s="28"/>
    </row>
    <row r="1726" spans="25:27" x14ac:dyDescent="0.2">
      <c r="Y1726" s="28"/>
      <c r="Z1726" s="28"/>
      <c r="AA1726" s="28"/>
    </row>
    <row r="1727" spans="25:27" x14ac:dyDescent="0.2">
      <c r="Y1727" s="28"/>
      <c r="Z1727" s="28"/>
      <c r="AA1727" s="28"/>
    </row>
    <row r="1728" spans="25:27" x14ac:dyDescent="0.2">
      <c r="Y1728" s="28"/>
      <c r="Z1728" s="28"/>
      <c r="AA1728" s="28"/>
    </row>
    <row r="1729" spans="25:27" x14ac:dyDescent="0.2">
      <c r="Y1729" s="28"/>
      <c r="Z1729" s="28"/>
      <c r="AA1729" s="28"/>
    </row>
    <row r="1730" spans="25:27" x14ac:dyDescent="0.2">
      <c r="Y1730" s="28"/>
      <c r="Z1730" s="28"/>
      <c r="AA1730" s="28"/>
    </row>
    <row r="1731" spans="25:27" x14ac:dyDescent="0.2">
      <c r="Y1731" s="28"/>
      <c r="Z1731" s="28"/>
      <c r="AA1731" s="28"/>
    </row>
    <row r="1732" spans="25:27" x14ac:dyDescent="0.2">
      <c r="Y1732" s="28"/>
      <c r="Z1732" s="28"/>
      <c r="AA1732" s="28"/>
    </row>
    <row r="1733" spans="25:27" x14ac:dyDescent="0.2">
      <c r="Y1733" s="28"/>
      <c r="Z1733" s="28"/>
      <c r="AA1733" s="28"/>
    </row>
    <row r="1734" spans="25:27" x14ac:dyDescent="0.2">
      <c r="Y1734" s="28"/>
      <c r="Z1734" s="28"/>
      <c r="AA1734" s="28"/>
    </row>
    <row r="1735" spans="25:27" x14ac:dyDescent="0.2">
      <c r="Y1735" s="28"/>
      <c r="Z1735" s="28"/>
      <c r="AA1735" s="28"/>
    </row>
    <row r="1736" spans="25:27" x14ac:dyDescent="0.2">
      <c r="Y1736" s="28"/>
      <c r="Z1736" s="28"/>
      <c r="AA1736" s="28"/>
    </row>
    <row r="1737" spans="25:27" x14ac:dyDescent="0.2">
      <c r="Y1737" s="28"/>
      <c r="Z1737" s="28"/>
      <c r="AA1737" s="28"/>
    </row>
    <row r="1738" spans="25:27" x14ac:dyDescent="0.2">
      <c r="Y1738" s="28"/>
      <c r="Z1738" s="28"/>
      <c r="AA1738" s="28"/>
    </row>
    <row r="1739" spans="25:27" x14ac:dyDescent="0.2">
      <c r="Y1739" s="28"/>
      <c r="Z1739" s="28"/>
      <c r="AA1739" s="28"/>
    </row>
    <row r="1740" spans="25:27" x14ac:dyDescent="0.2">
      <c r="Y1740" s="28"/>
      <c r="Z1740" s="28"/>
      <c r="AA1740" s="28"/>
    </row>
    <row r="1741" spans="25:27" x14ac:dyDescent="0.2">
      <c r="Y1741" s="28"/>
      <c r="Z1741" s="28"/>
      <c r="AA1741" s="28"/>
    </row>
    <row r="1742" spans="25:27" x14ac:dyDescent="0.2">
      <c r="Y1742" s="28"/>
      <c r="Z1742" s="28"/>
      <c r="AA1742" s="28"/>
    </row>
    <row r="1743" spans="25:27" x14ac:dyDescent="0.2">
      <c r="Y1743" s="28"/>
      <c r="Z1743" s="28"/>
      <c r="AA1743" s="28"/>
    </row>
    <row r="1744" spans="25:27" x14ac:dyDescent="0.2">
      <c r="Y1744" s="28"/>
      <c r="Z1744" s="28"/>
      <c r="AA1744" s="28"/>
    </row>
    <row r="1745" spans="25:27" x14ac:dyDescent="0.2">
      <c r="Y1745" s="28"/>
      <c r="Z1745" s="28"/>
      <c r="AA1745" s="28"/>
    </row>
    <row r="1746" spans="25:27" x14ac:dyDescent="0.2">
      <c r="Y1746" s="28"/>
      <c r="Z1746" s="28"/>
      <c r="AA1746" s="28"/>
    </row>
    <row r="1747" spans="25:27" x14ac:dyDescent="0.2">
      <c r="Y1747" s="28"/>
      <c r="Z1747" s="28"/>
      <c r="AA1747" s="28"/>
    </row>
    <row r="1748" spans="25:27" x14ac:dyDescent="0.2">
      <c r="Y1748" s="28"/>
      <c r="Z1748" s="28"/>
      <c r="AA1748" s="28"/>
    </row>
    <row r="1749" spans="25:27" x14ac:dyDescent="0.2">
      <c r="Y1749" s="28"/>
      <c r="Z1749" s="28"/>
      <c r="AA1749" s="28"/>
    </row>
    <row r="1750" spans="25:27" x14ac:dyDescent="0.2">
      <c r="Y1750" s="28"/>
      <c r="Z1750" s="28"/>
      <c r="AA1750" s="28"/>
    </row>
    <row r="1751" spans="25:27" x14ac:dyDescent="0.2">
      <c r="Y1751" s="28"/>
      <c r="Z1751" s="28"/>
      <c r="AA1751" s="28"/>
    </row>
    <row r="1752" spans="25:27" x14ac:dyDescent="0.2">
      <c r="Y1752" s="28"/>
      <c r="Z1752" s="28"/>
      <c r="AA1752" s="28"/>
    </row>
    <row r="1753" spans="25:27" x14ac:dyDescent="0.2">
      <c r="Y1753" s="28"/>
      <c r="Z1753" s="28"/>
      <c r="AA1753" s="28"/>
    </row>
    <row r="1754" spans="25:27" x14ac:dyDescent="0.2">
      <c r="Y1754" s="28"/>
      <c r="Z1754" s="28"/>
      <c r="AA1754" s="28"/>
    </row>
    <row r="1755" spans="25:27" x14ac:dyDescent="0.2">
      <c r="Y1755" s="28"/>
      <c r="Z1755" s="28"/>
      <c r="AA1755" s="28"/>
    </row>
    <row r="1756" spans="25:27" x14ac:dyDescent="0.2">
      <c r="Y1756" s="28"/>
      <c r="Z1756" s="28"/>
      <c r="AA1756" s="28"/>
    </row>
    <row r="1757" spans="25:27" x14ac:dyDescent="0.2">
      <c r="Y1757" s="28"/>
      <c r="Z1757" s="28"/>
      <c r="AA1757" s="28"/>
    </row>
    <row r="1758" spans="25:27" x14ac:dyDescent="0.2">
      <c r="Y1758" s="28"/>
      <c r="Z1758" s="28"/>
      <c r="AA1758" s="28"/>
    </row>
    <row r="1759" spans="25:27" x14ac:dyDescent="0.2">
      <c r="Y1759" s="28"/>
      <c r="Z1759" s="28"/>
      <c r="AA1759" s="28"/>
    </row>
    <row r="1760" spans="25:27" x14ac:dyDescent="0.2">
      <c r="Y1760" s="28"/>
      <c r="Z1760" s="28"/>
      <c r="AA1760" s="28"/>
    </row>
    <row r="1761" spans="25:27" x14ac:dyDescent="0.2">
      <c r="Y1761" s="28"/>
      <c r="Z1761" s="28"/>
      <c r="AA1761" s="28"/>
    </row>
    <row r="1762" spans="25:27" x14ac:dyDescent="0.2">
      <c r="Y1762" s="28"/>
      <c r="Z1762" s="28"/>
      <c r="AA1762" s="28"/>
    </row>
    <row r="1763" spans="25:27" x14ac:dyDescent="0.2">
      <c r="Y1763" s="28"/>
      <c r="Z1763" s="28"/>
      <c r="AA1763" s="28"/>
    </row>
    <row r="1764" spans="25:27" x14ac:dyDescent="0.2">
      <c r="Y1764" s="28"/>
      <c r="Z1764" s="28"/>
      <c r="AA1764" s="28"/>
    </row>
    <row r="1765" spans="25:27" x14ac:dyDescent="0.2">
      <c r="Y1765" s="28"/>
      <c r="Z1765" s="28"/>
      <c r="AA1765" s="28"/>
    </row>
    <row r="1766" spans="25:27" x14ac:dyDescent="0.2">
      <c r="Y1766" s="28"/>
      <c r="Z1766" s="28"/>
      <c r="AA1766" s="28"/>
    </row>
    <row r="1767" spans="25:27" x14ac:dyDescent="0.2">
      <c r="Y1767" s="28"/>
      <c r="Z1767" s="28"/>
      <c r="AA1767" s="28"/>
    </row>
    <row r="1768" spans="25:27" x14ac:dyDescent="0.2">
      <c r="Y1768" s="28"/>
      <c r="Z1768" s="28"/>
      <c r="AA1768" s="28"/>
    </row>
    <row r="1769" spans="25:27" x14ac:dyDescent="0.2">
      <c r="Y1769" s="28"/>
      <c r="Z1769" s="28"/>
      <c r="AA1769" s="28"/>
    </row>
    <row r="1770" spans="25:27" x14ac:dyDescent="0.2">
      <c r="Y1770" s="28"/>
      <c r="Z1770" s="28"/>
      <c r="AA1770" s="28"/>
    </row>
    <row r="1771" spans="25:27" x14ac:dyDescent="0.2">
      <c r="Y1771" s="28"/>
      <c r="Z1771" s="28"/>
      <c r="AA1771" s="28"/>
    </row>
    <row r="1772" spans="25:27" x14ac:dyDescent="0.2">
      <c r="Y1772" s="28"/>
      <c r="Z1772" s="28"/>
      <c r="AA1772" s="28"/>
    </row>
    <row r="1773" spans="25:27" x14ac:dyDescent="0.2">
      <c r="Y1773" s="28"/>
      <c r="Z1773" s="28"/>
      <c r="AA1773" s="28"/>
    </row>
    <row r="1774" spans="25:27" x14ac:dyDescent="0.2">
      <c r="Y1774" s="28"/>
      <c r="Z1774" s="28"/>
      <c r="AA1774" s="28"/>
    </row>
    <row r="1775" spans="25:27" x14ac:dyDescent="0.2">
      <c r="Y1775" s="28"/>
      <c r="Z1775" s="28"/>
      <c r="AA1775" s="28"/>
    </row>
    <row r="1776" spans="25:27" x14ac:dyDescent="0.2">
      <c r="Y1776" s="28"/>
      <c r="Z1776" s="28"/>
      <c r="AA1776" s="28"/>
    </row>
    <row r="1777" spans="25:27" x14ac:dyDescent="0.2">
      <c r="Y1777" s="28"/>
      <c r="Z1777" s="28"/>
      <c r="AA1777" s="28"/>
    </row>
    <row r="1778" spans="25:27" x14ac:dyDescent="0.2">
      <c r="Y1778" s="28"/>
      <c r="Z1778" s="28"/>
      <c r="AA1778" s="28"/>
    </row>
    <row r="1779" spans="25:27" x14ac:dyDescent="0.2">
      <c r="Y1779" s="28"/>
      <c r="Z1779" s="28"/>
      <c r="AA1779" s="28"/>
    </row>
    <row r="1780" spans="25:27" x14ac:dyDescent="0.2">
      <c r="Y1780" s="28"/>
      <c r="Z1780" s="28"/>
      <c r="AA1780" s="28"/>
    </row>
    <row r="1781" spans="25:27" x14ac:dyDescent="0.2">
      <c r="Y1781" s="28"/>
      <c r="Z1781" s="28"/>
      <c r="AA1781" s="28"/>
    </row>
    <row r="1782" spans="25:27" x14ac:dyDescent="0.2">
      <c r="Y1782" s="28"/>
      <c r="Z1782" s="28"/>
      <c r="AA1782" s="28"/>
    </row>
    <row r="1783" spans="25:27" x14ac:dyDescent="0.2">
      <c r="Y1783" s="28"/>
      <c r="Z1783" s="28"/>
      <c r="AA1783" s="28"/>
    </row>
    <row r="1784" spans="25:27" x14ac:dyDescent="0.2">
      <c r="Y1784" s="28"/>
      <c r="Z1784" s="28"/>
      <c r="AA1784" s="28"/>
    </row>
    <row r="1785" spans="25:27" x14ac:dyDescent="0.2">
      <c r="Y1785" s="28"/>
      <c r="Z1785" s="28"/>
      <c r="AA1785" s="28"/>
    </row>
    <row r="1786" spans="25:27" x14ac:dyDescent="0.2">
      <c r="Y1786" s="28"/>
      <c r="Z1786" s="28"/>
      <c r="AA1786" s="28"/>
    </row>
    <row r="1787" spans="25:27" x14ac:dyDescent="0.2">
      <c r="Y1787" s="28"/>
      <c r="Z1787" s="28"/>
      <c r="AA1787" s="28"/>
    </row>
    <row r="1788" spans="25:27" x14ac:dyDescent="0.2">
      <c r="Y1788" s="28"/>
      <c r="Z1788" s="28"/>
      <c r="AA1788" s="28"/>
    </row>
    <row r="1789" spans="25:27" x14ac:dyDescent="0.2">
      <c r="Y1789" s="28"/>
      <c r="Z1789" s="28"/>
      <c r="AA1789" s="28"/>
    </row>
    <row r="1790" spans="25:27" x14ac:dyDescent="0.2">
      <c r="Y1790" s="28"/>
      <c r="Z1790" s="28"/>
      <c r="AA1790" s="28"/>
    </row>
    <row r="1791" spans="25:27" x14ac:dyDescent="0.2">
      <c r="Y1791" s="28"/>
      <c r="Z1791" s="28"/>
      <c r="AA1791" s="28"/>
    </row>
    <row r="1792" spans="25:27" x14ac:dyDescent="0.2">
      <c r="Y1792" s="28"/>
      <c r="Z1792" s="28"/>
      <c r="AA1792" s="28"/>
    </row>
    <row r="1793" spans="25:27" x14ac:dyDescent="0.2">
      <c r="Y1793" s="28"/>
      <c r="Z1793" s="28"/>
      <c r="AA1793" s="28"/>
    </row>
    <row r="1794" spans="25:27" x14ac:dyDescent="0.2">
      <c r="Y1794" s="28"/>
      <c r="Z1794" s="28"/>
      <c r="AA1794" s="28"/>
    </row>
    <row r="1795" spans="25:27" x14ac:dyDescent="0.2">
      <c r="Y1795" s="28"/>
      <c r="Z1795" s="28"/>
      <c r="AA1795" s="28"/>
    </row>
    <row r="1796" spans="25:27" x14ac:dyDescent="0.2">
      <c r="Y1796" s="28"/>
      <c r="Z1796" s="28"/>
      <c r="AA1796" s="28"/>
    </row>
    <row r="1797" spans="25:27" x14ac:dyDescent="0.2">
      <c r="Y1797" s="28"/>
      <c r="Z1797" s="28"/>
      <c r="AA1797" s="28"/>
    </row>
    <row r="1798" spans="25:27" x14ac:dyDescent="0.2">
      <c r="Y1798" s="28"/>
      <c r="Z1798" s="28"/>
      <c r="AA1798" s="28"/>
    </row>
    <row r="1799" spans="25:27" x14ac:dyDescent="0.2">
      <c r="Y1799" s="28"/>
      <c r="Z1799" s="28"/>
      <c r="AA1799" s="28"/>
    </row>
    <row r="1800" spans="25:27" x14ac:dyDescent="0.2">
      <c r="Y1800" s="28"/>
      <c r="Z1800" s="28"/>
      <c r="AA1800" s="28"/>
    </row>
    <row r="1801" spans="25:27" x14ac:dyDescent="0.2">
      <c r="Y1801" s="28"/>
      <c r="Z1801" s="28"/>
      <c r="AA1801" s="28"/>
    </row>
    <row r="1802" spans="25:27" x14ac:dyDescent="0.2">
      <c r="Y1802" s="28"/>
      <c r="Z1802" s="28"/>
      <c r="AA1802" s="28"/>
    </row>
    <row r="1803" spans="25:27" x14ac:dyDescent="0.2">
      <c r="Y1803" s="28"/>
      <c r="Z1803" s="28"/>
      <c r="AA1803" s="28"/>
    </row>
    <row r="1804" spans="25:27" x14ac:dyDescent="0.2">
      <c r="Y1804" s="28"/>
      <c r="Z1804" s="28"/>
      <c r="AA1804" s="28"/>
    </row>
    <row r="1805" spans="25:27" x14ac:dyDescent="0.2">
      <c r="Y1805" s="28"/>
      <c r="Z1805" s="28"/>
      <c r="AA1805" s="28"/>
    </row>
    <row r="1806" spans="25:27" x14ac:dyDescent="0.2">
      <c r="Y1806" s="28"/>
      <c r="Z1806" s="28"/>
      <c r="AA1806" s="28"/>
    </row>
    <row r="1807" spans="25:27" x14ac:dyDescent="0.2">
      <c r="Y1807" s="28"/>
      <c r="Z1807" s="28"/>
      <c r="AA1807" s="28"/>
    </row>
    <row r="1808" spans="25:27" x14ac:dyDescent="0.2">
      <c r="Y1808" s="28"/>
      <c r="Z1808" s="28"/>
      <c r="AA1808" s="28"/>
    </row>
    <row r="1809" spans="25:27" x14ac:dyDescent="0.2">
      <c r="Y1809" s="28"/>
      <c r="Z1809" s="28"/>
      <c r="AA1809" s="28"/>
    </row>
    <row r="1810" spans="25:27" x14ac:dyDescent="0.2">
      <c r="Y1810" s="28"/>
      <c r="Z1810" s="28"/>
      <c r="AA1810" s="28"/>
    </row>
    <row r="1811" spans="25:27" x14ac:dyDescent="0.2">
      <c r="Y1811" s="28"/>
      <c r="Z1811" s="28"/>
      <c r="AA1811" s="28"/>
    </row>
    <row r="1812" spans="25:27" x14ac:dyDescent="0.2">
      <c r="Y1812" s="28"/>
      <c r="Z1812" s="28"/>
      <c r="AA1812" s="28"/>
    </row>
    <row r="1813" spans="25:27" x14ac:dyDescent="0.2">
      <c r="Y1813" s="28"/>
      <c r="Z1813" s="28"/>
      <c r="AA1813" s="28"/>
    </row>
    <row r="1814" spans="25:27" x14ac:dyDescent="0.2">
      <c r="Y1814" s="28"/>
      <c r="Z1814" s="28"/>
      <c r="AA1814" s="28"/>
    </row>
    <row r="1815" spans="25:27" x14ac:dyDescent="0.2">
      <c r="Y1815" s="28"/>
      <c r="Z1815" s="28"/>
      <c r="AA1815" s="28"/>
    </row>
    <row r="1816" spans="25:27" x14ac:dyDescent="0.2">
      <c r="Y1816" s="28"/>
      <c r="Z1816" s="28"/>
      <c r="AA1816" s="28"/>
    </row>
    <row r="1817" spans="25:27" x14ac:dyDescent="0.2">
      <c r="Y1817" s="28"/>
      <c r="Z1817" s="28"/>
      <c r="AA1817" s="28"/>
    </row>
    <row r="1818" spans="25:27" x14ac:dyDescent="0.2">
      <c r="Y1818" s="28"/>
      <c r="Z1818" s="28"/>
      <c r="AA1818" s="28"/>
    </row>
    <row r="1819" spans="25:27" x14ac:dyDescent="0.2">
      <c r="Y1819" s="28"/>
      <c r="Z1819" s="28"/>
      <c r="AA1819" s="28"/>
    </row>
    <row r="1820" spans="25:27" x14ac:dyDescent="0.2">
      <c r="Y1820" s="28"/>
      <c r="Z1820" s="28"/>
      <c r="AA1820" s="28"/>
    </row>
    <row r="1821" spans="25:27" x14ac:dyDescent="0.2">
      <c r="Y1821" s="28"/>
      <c r="Z1821" s="28"/>
      <c r="AA1821" s="28"/>
    </row>
    <row r="1822" spans="25:27" x14ac:dyDescent="0.2">
      <c r="Y1822" s="28"/>
      <c r="Z1822" s="28"/>
      <c r="AA1822" s="28"/>
    </row>
    <row r="1823" spans="25:27" x14ac:dyDescent="0.2">
      <c r="Y1823" s="28"/>
      <c r="Z1823" s="28"/>
      <c r="AA1823" s="28"/>
    </row>
    <row r="1824" spans="25:27" x14ac:dyDescent="0.2">
      <c r="Y1824" s="28"/>
      <c r="Z1824" s="28"/>
      <c r="AA1824" s="28"/>
    </row>
    <row r="1825" spans="25:27" x14ac:dyDescent="0.2">
      <c r="Y1825" s="28"/>
      <c r="Z1825" s="28"/>
      <c r="AA1825" s="28"/>
    </row>
    <row r="1826" spans="25:27" x14ac:dyDescent="0.2">
      <c r="Y1826" s="28"/>
      <c r="Z1826" s="28"/>
      <c r="AA1826" s="28"/>
    </row>
    <row r="1827" spans="25:27" x14ac:dyDescent="0.2">
      <c r="Y1827" s="28"/>
      <c r="Z1827" s="28"/>
      <c r="AA1827" s="28"/>
    </row>
    <row r="1828" spans="25:27" x14ac:dyDescent="0.2">
      <c r="Y1828" s="28"/>
      <c r="Z1828" s="28"/>
      <c r="AA1828" s="28"/>
    </row>
    <row r="1829" spans="25:27" x14ac:dyDescent="0.2">
      <c r="Y1829" s="28"/>
      <c r="Z1829" s="28"/>
      <c r="AA1829" s="28"/>
    </row>
    <row r="1830" spans="25:27" x14ac:dyDescent="0.2">
      <c r="Y1830" s="28"/>
      <c r="Z1830" s="28"/>
      <c r="AA1830" s="28"/>
    </row>
    <row r="1831" spans="25:27" x14ac:dyDescent="0.2">
      <c r="Y1831" s="28"/>
      <c r="Z1831" s="28"/>
      <c r="AA1831" s="28"/>
    </row>
    <row r="1832" spans="25:27" x14ac:dyDescent="0.2">
      <c r="Y1832" s="28"/>
      <c r="Z1832" s="28"/>
      <c r="AA1832" s="28"/>
    </row>
    <row r="1833" spans="25:27" x14ac:dyDescent="0.2">
      <c r="Y1833" s="28"/>
      <c r="Z1833" s="28"/>
      <c r="AA1833" s="28"/>
    </row>
    <row r="1834" spans="25:27" x14ac:dyDescent="0.2">
      <c r="Y1834" s="28"/>
      <c r="Z1834" s="28"/>
      <c r="AA1834" s="28"/>
    </row>
    <row r="1835" spans="25:27" x14ac:dyDescent="0.2">
      <c r="Y1835" s="28"/>
      <c r="Z1835" s="28"/>
      <c r="AA1835" s="28"/>
    </row>
    <row r="1836" spans="25:27" x14ac:dyDescent="0.2">
      <c r="Y1836" s="28"/>
      <c r="Z1836" s="28"/>
      <c r="AA1836" s="28"/>
    </row>
    <row r="1837" spans="25:27" x14ac:dyDescent="0.2">
      <c r="Y1837" s="28"/>
      <c r="Z1837" s="28"/>
      <c r="AA1837" s="28"/>
    </row>
    <row r="1838" spans="25:27" x14ac:dyDescent="0.2">
      <c r="Y1838" s="28"/>
      <c r="Z1838" s="28"/>
      <c r="AA1838" s="28"/>
    </row>
    <row r="1839" spans="25:27" x14ac:dyDescent="0.2">
      <c r="Y1839" s="28"/>
      <c r="Z1839" s="28"/>
      <c r="AA1839" s="28"/>
    </row>
    <row r="1840" spans="25:27" x14ac:dyDescent="0.2">
      <c r="Y1840" s="28"/>
      <c r="Z1840" s="28"/>
      <c r="AA1840" s="28"/>
    </row>
    <row r="1841" spans="25:27" x14ac:dyDescent="0.2">
      <c r="Y1841" s="28"/>
      <c r="Z1841" s="28"/>
      <c r="AA1841" s="28"/>
    </row>
    <row r="1842" spans="25:27" x14ac:dyDescent="0.2">
      <c r="Y1842" s="28"/>
      <c r="Z1842" s="28"/>
      <c r="AA1842" s="28"/>
    </row>
    <row r="1843" spans="25:27" x14ac:dyDescent="0.2">
      <c r="Y1843" s="28"/>
      <c r="Z1843" s="28"/>
      <c r="AA1843" s="28"/>
    </row>
    <row r="1844" spans="25:27" x14ac:dyDescent="0.2">
      <c r="Y1844" s="28"/>
      <c r="Z1844" s="28"/>
      <c r="AA1844" s="28"/>
    </row>
    <row r="1845" spans="25:27" x14ac:dyDescent="0.2">
      <c r="Y1845" s="28"/>
      <c r="Z1845" s="28"/>
      <c r="AA1845" s="28"/>
    </row>
    <row r="1846" spans="25:27" x14ac:dyDescent="0.2">
      <c r="Y1846" s="28"/>
      <c r="Z1846" s="28"/>
      <c r="AA1846" s="28"/>
    </row>
    <row r="1847" spans="25:27" x14ac:dyDescent="0.2">
      <c r="Y1847" s="28"/>
      <c r="Z1847" s="28"/>
      <c r="AA1847" s="28"/>
    </row>
    <row r="1848" spans="25:27" x14ac:dyDescent="0.2">
      <c r="Y1848" s="28"/>
      <c r="Z1848" s="28"/>
      <c r="AA1848" s="28"/>
    </row>
    <row r="1849" spans="25:27" x14ac:dyDescent="0.2">
      <c r="Y1849" s="28"/>
      <c r="Z1849" s="28"/>
      <c r="AA1849" s="28"/>
    </row>
    <row r="1850" spans="25:27" x14ac:dyDescent="0.2">
      <c r="Y1850" s="28"/>
      <c r="Z1850" s="28"/>
      <c r="AA1850" s="28"/>
    </row>
    <row r="1851" spans="25:27" x14ac:dyDescent="0.2">
      <c r="Y1851" s="28"/>
      <c r="Z1851" s="28"/>
      <c r="AA1851" s="28"/>
    </row>
    <row r="1852" spans="25:27" x14ac:dyDescent="0.2">
      <c r="Y1852" s="28"/>
      <c r="Z1852" s="28"/>
      <c r="AA1852" s="28"/>
    </row>
    <row r="1853" spans="25:27" x14ac:dyDescent="0.2">
      <c r="Y1853" s="28"/>
      <c r="Z1853" s="28"/>
      <c r="AA1853" s="28"/>
    </row>
    <row r="1854" spans="25:27" x14ac:dyDescent="0.2">
      <c r="Y1854" s="28"/>
      <c r="Z1854" s="28"/>
      <c r="AA1854" s="28"/>
    </row>
    <row r="1855" spans="25:27" x14ac:dyDescent="0.2">
      <c r="Y1855" s="28"/>
      <c r="Z1855" s="28"/>
      <c r="AA1855" s="28"/>
    </row>
    <row r="1856" spans="25:27" x14ac:dyDescent="0.2">
      <c r="Y1856" s="28"/>
      <c r="Z1856" s="28"/>
      <c r="AA1856" s="28"/>
    </row>
    <row r="1857" spans="25:27" x14ac:dyDescent="0.2">
      <c r="Y1857" s="28"/>
      <c r="Z1857" s="28"/>
      <c r="AA1857" s="28"/>
    </row>
    <row r="1858" spans="25:27" x14ac:dyDescent="0.2">
      <c r="Y1858" s="28"/>
      <c r="Z1858" s="28"/>
      <c r="AA1858" s="28"/>
    </row>
    <row r="1859" spans="25:27" x14ac:dyDescent="0.2">
      <c r="Y1859" s="28"/>
      <c r="Z1859" s="28"/>
      <c r="AA1859" s="28"/>
    </row>
    <row r="1860" spans="25:27" x14ac:dyDescent="0.2">
      <c r="Y1860" s="28"/>
      <c r="Z1860" s="28"/>
      <c r="AA1860" s="28"/>
    </row>
    <row r="1861" spans="25:27" x14ac:dyDescent="0.2">
      <c r="Y1861" s="28"/>
      <c r="Z1861" s="28"/>
      <c r="AA1861" s="28"/>
    </row>
    <row r="1862" spans="25:27" x14ac:dyDescent="0.2">
      <c r="Y1862" s="28"/>
      <c r="Z1862" s="28"/>
      <c r="AA1862" s="28"/>
    </row>
    <row r="1863" spans="25:27" x14ac:dyDescent="0.2">
      <c r="Y1863" s="28"/>
      <c r="Z1863" s="28"/>
      <c r="AA1863" s="28"/>
    </row>
    <row r="1864" spans="25:27" x14ac:dyDescent="0.2">
      <c r="Y1864" s="28"/>
      <c r="Z1864" s="28"/>
      <c r="AA1864" s="28"/>
    </row>
    <row r="1865" spans="25:27" x14ac:dyDescent="0.2">
      <c r="Y1865" s="28"/>
      <c r="Z1865" s="28"/>
      <c r="AA1865" s="28"/>
    </row>
    <row r="1866" spans="25:27" x14ac:dyDescent="0.2">
      <c r="Y1866" s="28"/>
      <c r="Z1866" s="28"/>
      <c r="AA1866" s="28"/>
    </row>
    <row r="1867" spans="25:27" x14ac:dyDescent="0.2">
      <c r="Y1867" s="28"/>
      <c r="Z1867" s="28"/>
      <c r="AA1867" s="28"/>
    </row>
    <row r="1868" spans="25:27" x14ac:dyDescent="0.2">
      <c r="Y1868" s="28"/>
      <c r="Z1868" s="28"/>
      <c r="AA1868" s="28"/>
    </row>
    <row r="1869" spans="25:27" x14ac:dyDescent="0.2">
      <c r="Y1869" s="28"/>
      <c r="Z1869" s="28"/>
      <c r="AA1869" s="28"/>
    </row>
    <row r="1870" spans="25:27" x14ac:dyDescent="0.2">
      <c r="Y1870" s="28"/>
      <c r="Z1870" s="28"/>
      <c r="AA1870" s="28"/>
    </row>
    <row r="1871" spans="25:27" x14ac:dyDescent="0.2">
      <c r="Y1871" s="28"/>
      <c r="Z1871" s="28"/>
      <c r="AA1871" s="28"/>
    </row>
    <row r="1872" spans="25:27" x14ac:dyDescent="0.2">
      <c r="Y1872" s="28"/>
      <c r="Z1872" s="28"/>
      <c r="AA1872" s="28"/>
    </row>
    <row r="1873" spans="25:27" x14ac:dyDescent="0.2">
      <c r="Y1873" s="28"/>
      <c r="Z1873" s="28"/>
      <c r="AA1873" s="28"/>
    </row>
    <row r="1874" spans="25:27" x14ac:dyDescent="0.2">
      <c r="Y1874" s="28"/>
      <c r="Z1874" s="28"/>
      <c r="AA1874" s="28"/>
    </row>
    <row r="1875" spans="25:27" x14ac:dyDescent="0.2">
      <c r="Y1875" s="28"/>
      <c r="Z1875" s="28"/>
      <c r="AA1875" s="28"/>
    </row>
    <row r="1876" spans="25:27" x14ac:dyDescent="0.2">
      <c r="Y1876" s="28"/>
      <c r="Z1876" s="28"/>
      <c r="AA1876" s="28"/>
    </row>
    <row r="1877" spans="25:27" x14ac:dyDescent="0.2">
      <c r="Y1877" s="28"/>
      <c r="Z1877" s="28"/>
      <c r="AA1877" s="28"/>
    </row>
    <row r="1878" spans="25:27" x14ac:dyDescent="0.2">
      <c r="Y1878" s="28"/>
      <c r="Z1878" s="28"/>
      <c r="AA1878" s="28"/>
    </row>
    <row r="1879" spans="25:27" x14ac:dyDescent="0.2">
      <c r="Y1879" s="28"/>
      <c r="Z1879" s="28"/>
      <c r="AA1879" s="28"/>
    </row>
    <row r="1880" spans="25:27" x14ac:dyDescent="0.2">
      <c r="Y1880" s="28"/>
      <c r="Z1880" s="28"/>
      <c r="AA1880" s="28"/>
    </row>
    <row r="1881" spans="25:27" x14ac:dyDescent="0.2">
      <c r="Y1881" s="28"/>
      <c r="Z1881" s="28"/>
      <c r="AA1881" s="28"/>
    </row>
    <row r="1882" spans="25:27" x14ac:dyDescent="0.2">
      <c r="Y1882" s="28"/>
      <c r="Z1882" s="28"/>
      <c r="AA1882" s="28"/>
    </row>
    <row r="1883" spans="25:27" x14ac:dyDescent="0.2">
      <c r="Y1883" s="28"/>
      <c r="Z1883" s="28"/>
      <c r="AA1883" s="28"/>
    </row>
    <row r="1884" spans="25:27" x14ac:dyDescent="0.2">
      <c r="Y1884" s="28"/>
      <c r="Z1884" s="28"/>
      <c r="AA1884" s="28"/>
    </row>
    <row r="1885" spans="25:27" x14ac:dyDescent="0.2">
      <c r="Y1885" s="28"/>
      <c r="Z1885" s="28"/>
      <c r="AA1885" s="28"/>
    </row>
    <row r="1886" spans="25:27" x14ac:dyDescent="0.2">
      <c r="Y1886" s="28"/>
      <c r="Z1886" s="28"/>
      <c r="AA1886" s="28"/>
    </row>
    <row r="1887" spans="25:27" x14ac:dyDescent="0.2">
      <c r="Y1887" s="28"/>
      <c r="Z1887" s="28"/>
      <c r="AA1887" s="28"/>
    </row>
    <row r="1888" spans="25:27" x14ac:dyDescent="0.2">
      <c r="Y1888" s="28"/>
      <c r="Z1888" s="28"/>
      <c r="AA1888" s="28"/>
    </row>
    <row r="1889" spans="25:27" x14ac:dyDescent="0.2">
      <c r="Y1889" s="28"/>
      <c r="Z1889" s="28"/>
      <c r="AA1889" s="28"/>
    </row>
    <row r="1890" spans="25:27" x14ac:dyDescent="0.2">
      <c r="Y1890" s="28"/>
      <c r="Z1890" s="28"/>
      <c r="AA1890" s="28"/>
    </row>
    <row r="1891" spans="25:27" x14ac:dyDescent="0.2">
      <c r="Y1891" s="28"/>
      <c r="Z1891" s="28"/>
      <c r="AA1891" s="28"/>
    </row>
    <row r="1892" spans="25:27" x14ac:dyDescent="0.2">
      <c r="Y1892" s="28"/>
      <c r="Z1892" s="28"/>
      <c r="AA1892" s="28"/>
    </row>
    <row r="1893" spans="25:27" x14ac:dyDescent="0.2">
      <c r="Y1893" s="28"/>
      <c r="Z1893" s="28"/>
      <c r="AA1893" s="28"/>
    </row>
    <row r="1894" spans="25:27" x14ac:dyDescent="0.2">
      <c r="Y1894" s="28"/>
      <c r="Z1894" s="28"/>
      <c r="AA1894" s="28"/>
    </row>
    <row r="1895" spans="25:27" x14ac:dyDescent="0.2">
      <c r="Y1895" s="28"/>
      <c r="Z1895" s="28"/>
      <c r="AA1895" s="28"/>
    </row>
    <row r="1896" spans="25:27" x14ac:dyDescent="0.2">
      <c r="Y1896" s="28"/>
      <c r="Z1896" s="28"/>
      <c r="AA1896" s="28"/>
    </row>
    <row r="1897" spans="25:27" x14ac:dyDescent="0.2">
      <c r="Y1897" s="28"/>
      <c r="Z1897" s="28"/>
      <c r="AA1897" s="28"/>
    </row>
    <row r="1898" spans="25:27" x14ac:dyDescent="0.2">
      <c r="Y1898" s="28"/>
      <c r="Z1898" s="28"/>
      <c r="AA1898" s="28"/>
    </row>
    <row r="1899" spans="25:27" x14ac:dyDescent="0.2">
      <c r="Y1899" s="28"/>
      <c r="Z1899" s="28"/>
      <c r="AA1899" s="28"/>
    </row>
    <row r="1900" spans="25:27" x14ac:dyDescent="0.2">
      <c r="Y1900" s="28"/>
      <c r="Z1900" s="28"/>
      <c r="AA1900" s="28"/>
    </row>
    <row r="1901" spans="25:27" x14ac:dyDescent="0.2">
      <c r="Y1901" s="28"/>
      <c r="Z1901" s="28"/>
      <c r="AA1901" s="28"/>
    </row>
    <row r="1902" spans="25:27" x14ac:dyDescent="0.2">
      <c r="Y1902" s="28"/>
      <c r="Z1902" s="28"/>
      <c r="AA1902" s="28"/>
    </row>
    <row r="1903" spans="25:27" x14ac:dyDescent="0.2">
      <c r="Y1903" s="28"/>
      <c r="Z1903" s="28"/>
      <c r="AA1903" s="28"/>
    </row>
    <row r="1904" spans="25:27" x14ac:dyDescent="0.2">
      <c r="Y1904" s="28"/>
      <c r="Z1904" s="28"/>
      <c r="AA1904" s="28"/>
    </row>
    <row r="1905" spans="25:27" x14ac:dyDescent="0.2">
      <c r="Y1905" s="28"/>
      <c r="Z1905" s="28"/>
      <c r="AA1905" s="28"/>
    </row>
    <row r="1906" spans="25:27" x14ac:dyDescent="0.2">
      <c r="Y1906" s="28"/>
      <c r="Z1906" s="28"/>
      <c r="AA1906" s="28"/>
    </row>
    <row r="1907" spans="25:27" x14ac:dyDescent="0.2">
      <c r="Y1907" s="28"/>
      <c r="Z1907" s="28"/>
      <c r="AA1907" s="28"/>
    </row>
    <row r="1908" spans="25:27" x14ac:dyDescent="0.2">
      <c r="Y1908" s="28"/>
      <c r="Z1908" s="28"/>
      <c r="AA1908" s="28"/>
    </row>
    <row r="1909" spans="25:27" x14ac:dyDescent="0.2">
      <c r="Y1909" s="28"/>
      <c r="Z1909" s="28"/>
      <c r="AA1909" s="28"/>
    </row>
    <row r="1910" spans="25:27" x14ac:dyDescent="0.2">
      <c r="Y1910" s="28"/>
      <c r="Z1910" s="28"/>
      <c r="AA1910" s="28"/>
    </row>
    <row r="1911" spans="25:27" x14ac:dyDescent="0.2">
      <c r="Y1911" s="28"/>
      <c r="Z1911" s="28"/>
      <c r="AA1911" s="28"/>
    </row>
    <row r="1912" spans="25:27" x14ac:dyDescent="0.2">
      <c r="Y1912" s="28"/>
      <c r="Z1912" s="28"/>
      <c r="AA1912" s="28"/>
    </row>
    <row r="1913" spans="25:27" x14ac:dyDescent="0.2">
      <c r="Y1913" s="28"/>
      <c r="Z1913" s="28"/>
      <c r="AA1913" s="28"/>
    </row>
    <row r="1914" spans="25:27" x14ac:dyDescent="0.2">
      <c r="Y1914" s="28"/>
      <c r="Z1914" s="28"/>
      <c r="AA1914" s="28"/>
    </row>
    <row r="1915" spans="25:27" x14ac:dyDescent="0.2">
      <c r="Y1915" s="28"/>
      <c r="Z1915" s="28"/>
      <c r="AA1915" s="28"/>
    </row>
    <row r="1916" spans="25:27" x14ac:dyDescent="0.2">
      <c r="Y1916" s="28"/>
      <c r="Z1916" s="28"/>
      <c r="AA1916" s="28"/>
    </row>
    <row r="1917" spans="25:27" x14ac:dyDescent="0.2">
      <c r="Y1917" s="28"/>
      <c r="Z1917" s="28"/>
      <c r="AA1917" s="28"/>
    </row>
    <row r="1918" spans="25:27" x14ac:dyDescent="0.2">
      <c r="Y1918" s="28"/>
      <c r="Z1918" s="28"/>
      <c r="AA1918" s="28"/>
    </row>
    <row r="1919" spans="25:27" x14ac:dyDescent="0.2">
      <c r="Y1919" s="28"/>
      <c r="Z1919" s="28"/>
      <c r="AA1919" s="28"/>
    </row>
    <row r="1920" spans="25:27" x14ac:dyDescent="0.2">
      <c r="Y1920" s="28"/>
      <c r="Z1920" s="28"/>
      <c r="AA1920" s="28"/>
    </row>
    <row r="1921" spans="25:27" x14ac:dyDescent="0.2">
      <c r="Y1921" s="28"/>
      <c r="Z1921" s="28"/>
      <c r="AA1921" s="28"/>
    </row>
    <row r="1922" spans="25:27" x14ac:dyDescent="0.2">
      <c r="Y1922" s="28"/>
      <c r="Z1922" s="28"/>
      <c r="AA1922" s="28"/>
    </row>
    <row r="1923" spans="25:27" x14ac:dyDescent="0.2">
      <c r="Y1923" s="28"/>
      <c r="Z1923" s="28"/>
      <c r="AA1923" s="28"/>
    </row>
    <row r="1924" spans="25:27" x14ac:dyDescent="0.2">
      <c r="Y1924" s="28"/>
      <c r="Z1924" s="28"/>
      <c r="AA1924" s="28"/>
    </row>
    <row r="1925" spans="25:27" x14ac:dyDescent="0.2">
      <c r="Y1925" s="28"/>
      <c r="Z1925" s="28"/>
      <c r="AA1925" s="28"/>
    </row>
    <row r="1926" spans="25:27" x14ac:dyDescent="0.2">
      <c r="Y1926" s="28"/>
      <c r="Z1926" s="28"/>
      <c r="AA1926" s="28"/>
    </row>
    <row r="1927" spans="25:27" x14ac:dyDescent="0.2">
      <c r="Y1927" s="28"/>
      <c r="Z1927" s="28"/>
      <c r="AA1927" s="28"/>
    </row>
    <row r="1928" spans="25:27" x14ac:dyDescent="0.2">
      <c r="Y1928" s="28"/>
      <c r="Z1928" s="28"/>
      <c r="AA1928" s="28"/>
    </row>
    <row r="1929" spans="25:27" x14ac:dyDescent="0.2">
      <c r="Y1929" s="28"/>
      <c r="Z1929" s="28"/>
      <c r="AA1929" s="28"/>
    </row>
    <row r="1930" spans="25:27" x14ac:dyDescent="0.2">
      <c r="Y1930" s="28"/>
      <c r="Z1930" s="28"/>
      <c r="AA1930" s="28"/>
    </row>
    <row r="1931" spans="25:27" x14ac:dyDescent="0.2">
      <c r="Y1931" s="28"/>
      <c r="Z1931" s="28"/>
      <c r="AA1931" s="28"/>
    </row>
    <row r="1932" spans="25:27" x14ac:dyDescent="0.2">
      <c r="Y1932" s="28"/>
      <c r="Z1932" s="28"/>
      <c r="AA1932" s="28"/>
    </row>
    <row r="1933" spans="25:27" x14ac:dyDescent="0.2">
      <c r="Y1933" s="28"/>
      <c r="Z1933" s="28"/>
      <c r="AA1933" s="28"/>
    </row>
    <row r="1934" spans="25:27" x14ac:dyDescent="0.2">
      <c r="Y1934" s="28"/>
      <c r="Z1934" s="28"/>
      <c r="AA1934" s="28"/>
    </row>
    <row r="1935" spans="25:27" x14ac:dyDescent="0.2">
      <c r="Y1935" s="28"/>
      <c r="Z1935" s="28"/>
      <c r="AA1935" s="28"/>
    </row>
    <row r="1936" spans="25:27" x14ac:dyDescent="0.2">
      <c r="Y1936" s="28"/>
      <c r="Z1936" s="28"/>
      <c r="AA1936" s="28"/>
    </row>
    <row r="1937" spans="25:27" x14ac:dyDescent="0.2">
      <c r="Y1937" s="28"/>
      <c r="Z1937" s="28"/>
      <c r="AA1937" s="28"/>
    </row>
    <row r="1938" spans="25:27" x14ac:dyDescent="0.2">
      <c r="Y1938" s="28"/>
      <c r="Z1938" s="28"/>
      <c r="AA1938" s="28"/>
    </row>
    <row r="1939" spans="25:27" x14ac:dyDescent="0.2">
      <c r="Y1939" s="28"/>
      <c r="Z1939" s="28"/>
      <c r="AA1939" s="28"/>
    </row>
    <row r="1940" spans="25:27" x14ac:dyDescent="0.2">
      <c r="Y1940" s="28"/>
      <c r="Z1940" s="28"/>
      <c r="AA1940" s="28"/>
    </row>
    <row r="1941" spans="25:27" x14ac:dyDescent="0.2">
      <c r="Y1941" s="28"/>
      <c r="Z1941" s="28"/>
      <c r="AA1941" s="28"/>
    </row>
    <row r="1942" spans="25:27" x14ac:dyDescent="0.2">
      <c r="Y1942" s="28"/>
      <c r="Z1942" s="28"/>
      <c r="AA1942" s="28"/>
    </row>
    <row r="1943" spans="25:27" x14ac:dyDescent="0.2">
      <c r="Y1943" s="28"/>
      <c r="Z1943" s="28"/>
      <c r="AA1943" s="28"/>
    </row>
    <row r="1944" spans="25:27" x14ac:dyDescent="0.2">
      <c r="Y1944" s="28"/>
      <c r="Z1944" s="28"/>
      <c r="AA1944" s="28"/>
    </row>
    <row r="1945" spans="25:27" x14ac:dyDescent="0.2">
      <c r="Y1945" s="28"/>
      <c r="Z1945" s="28"/>
      <c r="AA1945" s="28"/>
    </row>
    <row r="1946" spans="25:27" x14ac:dyDescent="0.2">
      <c r="Y1946" s="28"/>
      <c r="Z1946" s="28"/>
      <c r="AA1946" s="28"/>
    </row>
    <row r="1947" spans="25:27" x14ac:dyDescent="0.2">
      <c r="Y1947" s="28"/>
      <c r="Z1947" s="28"/>
      <c r="AA1947" s="28"/>
    </row>
    <row r="1948" spans="25:27" x14ac:dyDescent="0.2">
      <c r="Y1948" s="28"/>
      <c r="Z1948" s="28"/>
      <c r="AA1948" s="28"/>
    </row>
    <row r="1949" spans="25:27" x14ac:dyDescent="0.2">
      <c r="Y1949" s="28"/>
      <c r="Z1949" s="28"/>
      <c r="AA1949" s="28"/>
    </row>
    <row r="1950" spans="25:27" x14ac:dyDescent="0.2">
      <c r="Y1950" s="28"/>
      <c r="Z1950" s="28"/>
      <c r="AA1950" s="28"/>
    </row>
    <row r="1951" spans="25:27" x14ac:dyDescent="0.2">
      <c r="Y1951" s="28"/>
      <c r="Z1951" s="28"/>
      <c r="AA1951" s="28"/>
    </row>
    <row r="1952" spans="25:27" x14ac:dyDescent="0.2">
      <c r="Y1952" s="28"/>
      <c r="Z1952" s="28"/>
      <c r="AA1952" s="28"/>
    </row>
    <row r="1953" spans="25:27" x14ac:dyDescent="0.2">
      <c r="Y1953" s="28"/>
      <c r="Z1953" s="28"/>
      <c r="AA1953" s="28"/>
    </row>
    <row r="1954" spans="25:27" x14ac:dyDescent="0.2">
      <c r="Y1954" s="28"/>
      <c r="Z1954" s="28"/>
      <c r="AA1954" s="28"/>
    </row>
    <row r="1955" spans="25:27" x14ac:dyDescent="0.2">
      <c r="Y1955" s="28"/>
      <c r="Z1955" s="28"/>
      <c r="AA1955" s="28"/>
    </row>
    <row r="1956" spans="25:27" x14ac:dyDescent="0.2">
      <c r="Y1956" s="28"/>
      <c r="Z1956" s="28"/>
      <c r="AA1956" s="28"/>
    </row>
    <row r="1957" spans="25:27" x14ac:dyDescent="0.2">
      <c r="Y1957" s="28"/>
      <c r="Z1957" s="28"/>
      <c r="AA1957" s="28"/>
    </row>
    <row r="1958" spans="25:27" x14ac:dyDescent="0.2">
      <c r="Y1958" s="28"/>
      <c r="Z1958" s="28"/>
      <c r="AA1958" s="28"/>
    </row>
    <row r="1959" spans="25:27" x14ac:dyDescent="0.2">
      <c r="Y1959" s="28"/>
      <c r="Z1959" s="28"/>
      <c r="AA1959" s="28"/>
    </row>
    <row r="1960" spans="25:27" x14ac:dyDescent="0.2">
      <c r="Y1960" s="28"/>
      <c r="Z1960" s="28"/>
      <c r="AA1960" s="28"/>
    </row>
    <row r="1961" spans="25:27" x14ac:dyDescent="0.2">
      <c r="Y1961" s="28"/>
      <c r="Z1961" s="28"/>
      <c r="AA1961" s="28"/>
    </row>
    <row r="1962" spans="25:27" x14ac:dyDescent="0.2">
      <c r="Y1962" s="28"/>
      <c r="Z1962" s="28"/>
      <c r="AA1962" s="28"/>
    </row>
    <row r="1963" spans="25:27" x14ac:dyDescent="0.2">
      <c r="Y1963" s="28"/>
      <c r="Z1963" s="28"/>
      <c r="AA1963" s="28"/>
    </row>
    <row r="1964" spans="25:27" x14ac:dyDescent="0.2">
      <c r="Y1964" s="28"/>
      <c r="Z1964" s="28"/>
      <c r="AA1964" s="28"/>
    </row>
    <row r="1965" spans="25:27" x14ac:dyDescent="0.2">
      <c r="Y1965" s="28"/>
      <c r="Z1965" s="28"/>
      <c r="AA1965" s="28"/>
    </row>
    <row r="1966" spans="25:27" x14ac:dyDescent="0.2">
      <c r="Y1966" s="28"/>
      <c r="Z1966" s="28"/>
      <c r="AA1966" s="28"/>
    </row>
    <row r="1967" spans="25:27" x14ac:dyDescent="0.2">
      <c r="Y1967" s="28"/>
      <c r="Z1967" s="28"/>
      <c r="AA1967" s="28"/>
    </row>
    <row r="1968" spans="25:27" x14ac:dyDescent="0.2">
      <c r="Y1968" s="28"/>
      <c r="Z1968" s="28"/>
      <c r="AA1968" s="28"/>
    </row>
    <row r="1969" spans="25:27" x14ac:dyDescent="0.2">
      <c r="Y1969" s="28"/>
      <c r="Z1969" s="28"/>
      <c r="AA1969" s="28"/>
    </row>
    <row r="1970" spans="25:27" x14ac:dyDescent="0.2">
      <c r="Y1970" s="28"/>
      <c r="Z1970" s="28"/>
      <c r="AA1970" s="28"/>
    </row>
    <row r="1971" spans="25:27" x14ac:dyDescent="0.2">
      <c r="Y1971" s="28"/>
      <c r="Z1971" s="28"/>
      <c r="AA1971" s="28"/>
    </row>
    <row r="1972" spans="25:27" x14ac:dyDescent="0.2">
      <c r="Y1972" s="28"/>
      <c r="Z1972" s="28"/>
      <c r="AA1972" s="28"/>
    </row>
    <row r="1973" spans="25:27" x14ac:dyDescent="0.2">
      <c r="Y1973" s="28"/>
      <c r="Z1973" s="28"/>
      <c r="AA1973" s="28"/>
    </row>
    <row r="1974" spans="25:27" x14ac:dyDescent="0.2">
      <c r="Y1974" s="28"/>
      <c r="Z1974" s="28"/>
      <c r="AA1974" s="28"/>
    </row>
    <row r="1975" spans="25:27" x14ac:dyDescent="0.2">
      <c r="Y1975" s="28"/>
      <c r="Z1975" s="28"/>
      <c r="AA1975" s="28"/>
    </row>
    <row r="1976" spans="25:27" x14ac:dyDescent="0.2">
      <c r="Y1976" s="28"/>
      <c r="Z1976" s="28"/>
      <c r="AA1976" s="28"/>
    </row>
    <row r="1977" spans="25:27" x14ac:dyDescent="0.2">
      <c r="Y1977" s="28"/>
      <c r="Z1977" s="28"/>
      <c r="AA1977" s="28"/>
    </row>
    <row r="1978" spans="25:27" x14ac:dyDescent="0.2">
      <c r="Y1978" s="28"/>
      <c r="Z1978" s="28"/>
      <c r="AA1978" s="28"/>
    </row>
    <row r="1979" spans="25:27" x14ac:dyDescent="0.2">
      <c r="Y1979" s="28"/>
      <c r="Z1979" s="28"/>
      <c r="AA1979" s="28"/>
    </row>
    <row r="1980" spans="25:27" x14ac:dyDescent="0.2">
      <c r="Y1980" s="28"/>
      <c r="Z1980" s="28"/>
      <c r="AA1980" s="28"/>
    </row>
    <row r="1981" spans="25:27" x14ac:dyDescent="0.2">
      <c r="Y1981" s="28"/>
      <c r="Z1981" s="28"/>
      <c r="AA1981" s="28"/>
    </row>
    <row r="1982" spans="25:27" x14ac:dyDescent="0.2">
      <c r="Y1982" s="28"/>
      <c r="Z1982" s="28"/>
      <c r="AA1982" s="28"/>
    </row>
    <row r="1983" spans="25:27" x14ac:dyDescent="0.2">
      <c r="Y1983" s="28"/>
      <c r="Z1983" s="28"/>
      <c r="AA1983" s="28"/>
    </row>
    <row r="1984" spans="25:27" x14ac:dyDescent="0.2">
      <c r="Y1984" s="28"/>
      <c r="Z1984" s="28"/>
      <c r="AA1984" s="28"/>
    </row>
    <row r="1985" spans="25:27" x14ac:dyDescent="0.2">
      <c r="Y1985" s="28"/>
      <c r="Z1985" s="28"/>
      <c r="AA1985" s="28"/>
    </row>
    <row r="1986" spans="25:27" x14ac:dyDescent="0.2">
      <c r="Y1986" s="28"/>
      <c r="Z1986" s="28"/>
      <c r="AA1986" s="28"/>
    </row>
    <row r="1987" spans="25:27" x14ac:dyDescent="0.2">
      <c r="Y1987" s="28"/>
      <c r="Z1987" s="28"/>
      <c r="AA1987" s="28"/>
    </row>
    <row r="1988" spans="25:27" x14ac:dyDescent="0.2">
      <c r="Y1988" s="28"/>
      <c r="Z1988" s="28"/>
      <c r="AA1988" s="28"/>
    </row>
    <row r="1989" spans="25:27" x14ac:dyDescent="0.2">
      <c r="Y1989" s="28"/>
      <c r="Z1989" s="28"/>
      <c r="AA1989" s="28"/>
    </row>
    <row r="1990" spans="25:27" x14ac:dyDescent="0.2">
      <c r="Y1990" s="28"/>
      <c r="Z1990" s="28"/>
      <c r="AA1990" s="28"/>
    </row>
    <row r="1991" spans="25:27" x14ac:dyDescent="0.2">
      <c r="Y1991" s="28"/>
      <c r="Z1991" s="28"/>
      <c r="AA1991" s="28"/>
    </row>
    <row r="1992" spans="25:27" x14ac:dyDescent="0.2">
      <c r="Y1992" s="28"/>
      <c r="Z1992" s="28"/>
      <c r="AA1992" s="28"/>
    </row>
    <row r="1993" spans="25:27" x14ac:dyDescent="0.2">
      <c r="Y1993" s="28"/>
      <c r="Z1993" s="28"/>
      <c r="AA1993" s="28"/>
    </row>
    <row r="1994" spans="25:27" x14ac:dyDescent="0.2">
      <c r="Y1994" s="28"/>
      <c r="Z1994" s="28"/>
      <c r="AA1994" s="28"/>
    </row>
    <row r="1995" spans="25:27" x14ac:dyDescent="0.2">
      <c r="Y1995" s="28"/>
      <c r="Z1995" s="28"/>
      <c r="AA1995" s="28"/>
    </row>
    <row r="1996" spans="25:27" x14ac:dyDescent="0.2">
      <c r="Y1996" s="28"/>
      <c r="Z1996" s="28"/>
      <c r="AA1996" s="28"/>
    </row>
    <row r="1997" spans="25:27" x14ac:dyDescent="0.2">
      <c r="Y1997" s="28"/>
      <c r="Z1997" s="28"/>
      <c r="AA1997" s="28"/>
    </row>
    <row r="1998" spans="25:27" x14ac:dyDescent="0.2">
      <c r="Y1998" s="28"/>
      <c r="Z1998" s="28"/>
      <c r="AA1998" s="28"/>
    </row>
    <row r="1999" spans="25:27" x14ac:dyDescent="0.2">
      <c r="Y1999" s="28"/>
      <c r="Z1999" s="28"/>
      <c r="AA1999" s="28"/>
    </row>
    <row r="2000" spans="25:27" x14ac:dyDescent="0.2">
      <c r="Y2000" s="28"/>
      <c r="Z2000" s="28"/>
      <c r="AA2000" s="28"/>
    </row>
    <row r="2001" spans="25:27" x14ac:dyDescent="0.2">
      <c r="Y2001" s="28"/>
      <c r="Z2001" s="28"/>
      <c r="AA2001" s="28"/>
    </row>
    <row r="2002" spans="25:27" x14ac:dyDescent="0.2">
      <c r="Y2002" s="28"/>
      <c r="Z2002" s="28"/>
      <c r="AA2002" s="28"/>
    </row>
    <row r="2003" spans="25:27" x14ac:dyDescent="0.2">
      <c r="Y2003" s="28"/>
      <c r="Z2003" s="28"/>
      <c r="AA2003" s="28"/>
    </row>
    <row r="2004" spans="25:27" x14ac:dyDescent="0.2">
      <c r="Y2004" s="28"/>
      <c r="Z2004" s="28"/>
      <c r="AA2004" s="28"/>
    </row>
    <row r="2005" spans="25:27" x14ac:dyDescent="0.2">
      <c r="Y2005" s="28"/>
      <c r="Z2005" s="28"/>
      <c r="AA2005" s="28"/>
    </row>
    <row r="2006" spans="25:27" x14ac:dyDescent="0.2">
      <c r="Y2006" s="28"/>
      <c r="Z2006" s="28"/>
      <c r="AA2006" s="28"/>
    </row>
    <row r="2007" spans="25:27" x14ac:dyDescent="0.2">
      <c r="Y2007" s="28"/>
      <c r="Z2007" s="28"/>
      <c r="AA2007" s="28"/>
    </row>
    <row r="2008" spans="25:27" x14ac:dyDescent="0.2">
      <c r="Y2008" s="28"/>
      <c r="Z2008" s="28"/>
      <c r="AA2008" s="28"/>
    </row>
    <row r="2009" spans="25:27" x14ac:dyDescent="0.2">
      <c r="Y2009" s="28"/>
      <c r="Z2009" s="28"/>
      <c r="AA2009" s="28"/>
    </row>
    <row r="2010" spans="25:27" x14ac:dyDescent="0.2">
      <c r="Y2010" s="28"/>
      <c r="Z2010" s="28"/>
      <c r="AA2010" s="28"/>
    </row>
    <row r="2011" spans="25:27" x14ac:dyDescent="0.2">
      <c r="Y2011" s="28"/>
      <c r="Z2011" s="28"/>
      <c r="AA2011" s="28"/>
    </row>
    <row r="2012" spans="25:27" x14ac:dyDescent="0.2">
      <c r="Y2012" s="28"/>
      <c r="Z2012" s="28"/>
      <c r="AA2012" s="28"/>
    </row>
    <row r="2013" spans="25:27" x14ac:dyDescent="0.2">
      <c r="Y2013" s="28"/>
      <c r="Z2013" s="28"/>
      <c r="AA2013" s="28"/>
    </row>
    <row r="2014" spans="25:27" x14ac:dyDescent="0.2">
      <c r="Y2014" s="28"/>
      <c r="Z2014" s="28"/>
      <c r="AA2014" s="28"/>
    </row>
    <row r="2015" spans="25:27" x14ac:dyDescent="0.2">
      <c r="Y2015" s="28"/>
      <c r="Z2015" s="28"/>
      <c r="AA2015" s="28"/>
    </row>
    <row r="2016" spans="25:27" x14ac:dyDescent="0.2">
      <c r="Y2016" s="28"/>
      <c r="Z2016" s="28"/>
      <c r="AA2016" s="28"/>
    </row>
    <row r="2017" spans="25:27" x14ac:dyDescent="0.2">
      <c r="Y2017" s="28"/>
      <c r="Z2017" s="28"/>
      <c r="AA2017" s="28"/>
    </row>
    <row r="2018" spans="25:27" x14ac:dyDescent="0.2">
      <c r="Y2018" s="28"/>
      <c r="Z2018" s="28"/>
      <c r="AA2018" s="28"/>
    </row>
    <row r="2019" spans="25:27" x14ac:dyDescent="0.2">
      <c r="Y2019" s="28"/>
      <c r="Z2019" s="28"/>
      <c r="AA2019" s="28"/>
    </row>
    <row r="2020" spans="25:27" x14ac:dyDescent="0.2">
      <c r="Y2020" s="28"/>
      <c r="Z2020" s="28"/>
      <c r="AA2020" s="28"/>
    </row>
    <row r="2021" spans="25:27" x14ac:dyDescent="0.2">
      <c r="Y2021" s="28"/>
      <c r="Z2021" s="28"/>
      <c r="AA2021" s="28"/>
    </row>
    <row r="2022" spans="25:27" x14ac:dyDescent="0.2">
      <c r="Y2022" s="28"/>
      <c r="Z2022" s="28"/>
      <c r="AA2022" s="28"/>
    </row>
    <row r="2023" spans="25:27" x14ac:dyDescent="0.2">
      <c r="Y2023" s="28"/>
      <c r="Z2023" s="28"/>
      <c r="AA2023" s="28"/>
    </row>
    <row r="2024" spans="25:27" x14ac:dyDescent="0.2">
      <c r="Y2024" s="28"/>
      <c r="Z2024" s="28"/>
      <c r="AA2024" s="28"/>
    </row>
    <row r="2025" spans="25:27" x14ac:dyDescent="0.2">
      <c r="Y2025" s="28"/>
      <c r="Z2025" s="28"/>
      <c r="AA2025" s="28"/>
    </row>
    <row r="2026" spans="25:27" x14ac:dyDescent="0.2">
      <c r="Y2026" s="28"/>
      <c r="Z2026" s="28"/>
      <c r="AA2026" s="28"/>
    </row>
    <row r="2027" spans="25:27" x14ac:dyDescent="0.2">
      <c r="Y2027" s="28"/>
      <c r="Z2027" s="28"/>
      <c r="AA2027" s="28"/>
    </row>
    <row r="2028" spans="25:27" x14ac:dyDescent="0.2">
      <c r="Y2028" s="28"/>
      <c r="Z2028" s="28"/>
      <c r="AA2028" s="28"/>
    </row>
    <row r="2029" spans="25:27" x14ac:dyDescent="0.2">
      <c r="Y2029" s="28"/>
      <c r="Z2029" s="28"/>
      <c r="AA2029" s="28"/>
    </row>
    <row r="2030" spans="25:27" x14ac:dyDescent="0.2">
      <c r="Y2030" s="28"/>
      <c r="Z2030" s="28"/>
      <c r="AA2030" s="28"/>
    </row>
    <row r="2031" spans="25:27" x14ac:dyDescent="0.2">
      <c r="Y2031" s="28"/>
      <c r="Z2031" s="28"/>
      <c r="AA2031" s="28"/>
    </row>
    <row r="2032" spans="25:27" x14ac:dyDescent="0.2">
      <c r="Y2032" s="28"/>
      <c r="Z2032" s="28"/>
      <c r="AA2032" s="28"/>
    </row>
    <row r="2033" spans="25:27" x14ac:dyDescent="0.2">
      <c r="Y2033" s="28"/>
      <c r="Z2033" s="28"/>
      <c r="AA2033" s="28"/>
    </row>
    <row r="2034" spans="25:27" x14ac:dyDescent="0.2">
      <c r="Y2034" s="28"/>
      <c r="Z2034" s="28"/>
      <c r="AA2034" s="28"/>
    </row>
    <row r="2035" spans="25:27" x14ac:dyDescent="0.2">
      <c r="Y2035" s="28"/>
      <c r="Z2035" s="28"/>
      <c r="AA2035" s="28"/>
    </row>
    <row r="2036" spans="25:27" x14ac:dyDescent="0.2">
      <c r="Y2036" s="28"/>
      <c r="Z2036" s="28"/>
      <c r="AA2036" s="28"/>
    </row>
    <row r="2037" spans="25:27" x14ac:dyDescent="0.2">
      <c r="Y2037" s="28"/>
      <c r="Z2037" s="28"/>
      <c r="AA2037" s="28"/>
    </row>
    <row r="2038" spans="25:27" x14ac:dyDescent="0.2">
      <c r="Y2038" s="28"/>
      <c r="Z2038" s="28"/>
      <c r="AA2038" s="28"/>
    </row>
    <row r="2039" spans="25:27" x14ac:dyDescent="0.2">
      <c r="Y2039" s="28"/>
      <c r="Z2039" s="28"/>
      <c r="AA2039" s="28"/>
    </row>
    <row r="2040" spans="25:27" x14ac:dyDescent="0.2">
      <c r="Y2040" s="28"/>
      <c r="Z2040" s="28"/>
      <c r="AA2040" s="28"/>
    </row>
    <row r="2041" spans="25:27" x14ac:dyDescent="0.2">
      <c r="Y2041" s="28"/>
      <c r="Z2041" s="28"/>
      <c r="AA2041" s="28"/>
    </row>
    <row r="2042" spans="25:27" x14ac:dyDescent="0.2">
      <c r="Y2042" s="28"/>
      <c r="Z2042" s="28"/>
      <c r="AA2042" s="28"/>
    </row>
    <row r="2043" spans="25:27" x14ac:dyDescent="0.2">
      <c r="Y2043" s="28"/>
      <c r="Z2043" s="28"/>
      <c r="AA2043" s="28"/>
    </row>
    <row r="2044" spans="25:27" x14ac:dyDescent="0.2">
      <c r="Y2044" s="28"/>
      <c r="Z2044" s="28"/>
      <c r="AA2044" s="28"/>
    </row>
    <row r="2045" spans="25:27" x14ac:dyDescent="0.2">
      <c r="Y2045" s="28"/>
      <c r="Z2045" s="28"/>
      <c r="AA2045" s="28"/>
    </row>
    <row r="2046" spans="25:27" x14ac:dyDescent="0.2">
      <c r="Y2046" s="28"/>
      <c r="Z2046" s="28"/>
      <c r="AA2046" s="28"/>
    </row>
    <row r="2047" spans="25:27" x14ac:dyDescent="0.2">
      <c r="Y2047" s="28"/>
      <c r="Z2047" s="28"/>
      <c r="AA2047" s="28"/>
    </row>
    <row r="2048" spans="25:27" x14ac:dyDescent="0.2">
      <c r="Y2048" s="28"/>
      <c r="Z2048" s="28"/>
      <c r="AA2048" s="28"/>
    </row>
    <row r="2049" spans="25:27" x14ac:dyDescent="0.2">
      <c r="Y2049" s="28"/>
      <c r="Z2049" s="28"/>
      <c r="AA2049" s="28"/>
    </row>
    <row r="2050" spans="25:27" x14ac:dyDescent="0.2">
      <c r="Y2050" s="28"/>
      <c r="Z2050" s="28"/>
      <c r="AA2050" s="28"/>
    </row>
    <row r="2051" spans="25:27" x14ac:dyDescent="0.2">
      <c r="Y2051" s="28"/>
      <c r="Z2051" s="28"/>
      <c r="AA2051" s="28"/>
    </row>
    <row r="2052" spans="25:27" x14ac:dyDescent="0.2">
      <c r="Y2052" s="28"/>
      <c r="Z2052" s="28"/>
      <c r="AA2052" s="28"/>
    </row>
    <row r="2053" spans="25:27" x14ac:dyDescent="0.2">
      <c r="Y2053" s="28"/>
      <c r="Z2053" s="28"/>
      <c r="AA2053" s="28"/>
    </row>
    <row r="2054" spans="25:27" x14ac:dyDescent="0.2">
      <c r="Y2054" s="28"/>
      <c r="Z2054" s="28"/>
      <c r="AA2054" s="28"/>
    </row>
    <row r="2055" spans="25:27" x14ac:dyDescent="0.2">
      <c r="Y2055" s="28"/>
      <c r="Z2055" s="28"/>
      <c r="AA2055" s="28"/>
    </row>
    <row r="2056" spans="25:27" x14ac:dyDescent="0.2">
      <c r="Y2056" s="28"/>
      <c r="Z2056" s="28"/>
      <c r="AA2056" s="28"/>
    </row>
    <row r="2057" spans="25:27" x14ac:dyDescent="0.2">
      <c r="Y2057" s="28"/>
      <c r="Z2057" s="28"/>
      <c r="AA2057" s="28"/>
    </row>
    <row r="2058" spans="25:27" x14ac:dyDescent="0.2">
      <c r="Y2058" s="28"/>
      <c r="Z2058" s="28"/>
      <c r="AA2058" s="28"/>
    </row>
    <row r="2059" spans="25:27" x14ac:dyDescent="0.2">
      <c r="Y2059" s="28"/>
      <c r="Z2059" s="28"/>
      <c r="AA2059" s="28"/>
    </row>
    <row r="2060" spans="25:27" x14ac:dyDescent="0.2">
      <c r="Y2060" s="28"/>
      <c r="Z2060" s="28"/>
      <c r="AA2060" s="28"/>
    </row>
    <row r="2061" spans="25:27" x14ac:dyDescent="0.2">
      <c r="Y2061" s="28"/>
      <c r="Z2061" s="28"/>
      <c r="AA2061" s="28"/>
    </row>
    <row r="2062" spans="25:27" x14ac:dyDescent="0.2">
      <c r="Y2062" s="28"/>
      <c r="Z2062" s="28"/>
      <c r="AA2062" s="28"/>
    </row>
    <row r="2063" spans="25:27" x14ac:dyDescent="0.2">
      <c r="Y2063" s="28"/>
      <c r="Z2063" s="28"/>
      <c r="AA2063" s="28"/>
    </row>
    <row r="2064" spans="25:27" x14ac:dyDescent="0.2">
      <c r="Y2064" s="28"/>
      <c r="Z2064" s="28"/>
      <c r="AA2064" s="28"/>
    </row>
    <row r="2065" spans="25:27" x14ac:dyDescent="0.2">
      <c r="Y2065" s="28"/>
      <c r="Z2065" s="28"/>
      <c r="AA2065" s="28"/>
    </row>
    <row r="2066" spans="25:27" x14ac:dyDescent="0.2">
      <c r="Y2066" s="28"/>
      <c r="Z2066" s="28"/>
      <c r="AA2066" s="28"/>
    </row>
    <row r="2067" spans="25:27" x14ac:dyDescent="0.2">
      <c r="Y2067" s="28"/>
      <c r="Z2067" s="28"/>
      <c r="AA2067" s="28"/>
    </row>
    <row r="2068" spans="25:27" x14ac:dyDescent="0.2">
      <c r="Y2068" s="28"/>
      <c r="Z2068" s="28"/>
      <c r="AA2068" s="28"/>
    </row>
    <row r="2069" spans="25:27" x14ac:dyDescent="0.2">
      <c r="Y2069" s="28"/>
      <c r="Z2069" s="28"/>
      <c r="AA2069" s="28"/>
    </row>
    <row r="2070" spans="25:27" x14ac:dyDescent="0.2">
      <c r="Y2070" s="28"/>
      <c r="Z2070" s="28"/>
      <c r="AA2070" s="28"/>
    </row>
    <row r="2071" spans="25:27" x14ac:dyDescent="0.2">
      <c r="Y2071" s="28"/>
      <c r="Z2071" s="28"/>
      <c r="AA2071" s="28"/>
    </row>
    <row r="2072" spans="25:27" x14ac:dyDescent="0.2">
      <c r="Y2072" s="28"/>
      <c r="Z2072" s="28"/>
      <c r="AA2072" s="28"/>
    </row>
    <row r="2073" spans="25:27" x14ac:dyDescent="0.2">
      <c r="Y2073" s="28"/>
      <c r="Z2073" s="28"/>
      <c r="AA2073" s="28"/>
    </row>
    <row r="2074" spans="25:27" x14ac:dyDescent="0.2">
      <c r="Y2074" s="28"/>
      <c r="Z2074" s="28"/>
      <c r="AA2074" s="28"/>
    </row>
    <row r="2075" spans="25:27" x14ac:dyDescent="0.2">
      <c r="Y2075" s="28"/>
      <c r="Z2075" s="28"/>
      <c r="AA2075" s="28"/>
    </row>
    <row r="2076" spans="25:27" x14ac:dyDescent="0.2">
      <c r="Y2076" s="28"/>
      <c r="Z2076" s="28"/>
      <c r="AA2076" s="28"/>
    </row>
    <row r="2077" spans="25:27" x14ac:dyDescent="0.2">
      <c r="Y2077" s="28"/>
      <c r="Z2077" s="28"/>
      <c r="AA2077" s="28"/>
    </row>
    <row r="2078" spans="25:27" x14ac:dyDescent="0.2">
      <c r="Y2078" s="28"/>
      <c r="Z2078" s="28"/>
      <c r="AA2078" s="28"/>
    </row>
    <row r="2079" spans="25:27" x14ac:dyDescent="0.2">
      <c r="Y2079" s="28"/>
      <c r="Z2079" s="28"/>
      <c r="AA2079" s="28"/>
    </row>
    <row r="2080" spans="25:27" x14ac:dyDescent="0.2">
      <c r="Y2080" s="28"/>
      <c r="Z2080" s="28"/>
      <c r="AA2080" s="28"/>
    </row>
    <row r="2081" spans="25:27" x14ac:dyDescent="0.2">
      <c r="Y2081" s="28"/>
      <c r="Z2081" s="28"/>
      <c r="AA2081" s="28"/>
    </row>
    <row r="2082" spans="25:27" x14ac:dyDescent="0.2">
      <c r="Y2082" s="28"/>
      <c r="Z2082" s="28"/>
      <c r="AA2082" s="28"/>
    </row>
    <row r="2083" spans="25:27" x14ac:dyDescent="0.2">
      <c r="Y2083" s="28"/>
      <c r="Z2083" s="28"/>
      <c r="AA2083" s="28"/>
    </row>
    <row r="2084" spans="25:27" x14ac:dyDescent="0.2">
      <c r="Y2084" s="28"/>
      <c r="Z2084" s="28"/>
      <c r="AA2084" s="28"/>
    </row>
    <row r="2085" spans="25:27" x14ac:dyDescent="0.2">
      <c r="Y2085" s="28"/>
      <c r="Z2085" s="28"/>
      <c r="AA2085" s="28"/>
    </row>
    <row r="2086" spans="25:27" x14ac:dyDescent="0.2">
      <c r="Y2086" s="28"/>
      <c r="Z2086" s="28"/>
      <c r="AA2086" s="28"/>
    </row>
    <row r="2087" spans="25:27" x14ac:dyDescent="0.2">
      <c r="Y2087" s="28"/>
      <c r="Z2087" s="28"/>
      <c r="AA2087" s="28"/>
    </row>
    <row r="2088" spans="25:27" x14ac:dyDescent="0.2">
      <c r="Y2088" s="28"/>
      <c r="Z2088" s="28"/>
      <c r="AA2088" s="28"/>
    </row>
    <row r="2089" spans="25:27" x14ac:dyDescent="0.2">
      <c r="Y2089" s="28"/>
      <c r="Z2089" s="28"/>
      <c r="AA2089" s="28"/>
    </row>
    <row r="2090" spans="25:27" x14ac:dyDescent="0.2">
      <c r="Y2090" s="28"/>
      <c r="Z2090" s="28"/>
      <c r="AA2090" s="28"/>
    </row>
    <row r="2091" spans="25:27" x14ac:dyDescent="0.2">
      <c r="Y2091" s="28"/>
      <c r="Z2091" s="28"/>
      <c r="AA2091" s="28"/>
    </row>
    <row r="2092" spans="25:27" x14ac:dyDescent="0.2">
      <c r="Y2092" s="28"/>
      <c r="Z2092" s="28"/>
      <c r="AA2092" s="28"/>
    </row>
    <row r="2093" spans="25:27" x14ac:dyDescent="0.2">
      <c r="Y2093" s="28"/>
      <c r="Z2093" s="28"/>
      <c r="AA2093" s="28"/>
    </row>
    <row r="2094" spans="25:27" x14ac:dyDescent="0.2">
      <c r="Y2094" s="28"/>
      <c r="Z2094" s="28"/>
      <c r="AA2094" s="28"/>
    </row>
    <row r="2095" spans="25:27" x14ac:dyDescent="0.2">
      <c r="Y2095" s="28"/>
      <c r="Z2095" s="28"/>
      <c r="AA2095" s="28"/>
    </row>
    <row r="2096" spans="25:27" x14ac:dyDescent="0.2">
      <c r="Y2096" s="28"/>
      <c r="Z2096" s="28"/>
      <c r="AA2096" s="28"/>
    </row>
    <row r="2097" spans="25:27" x14ac:dyDescent="0.2">
      <c r="Y2097" s="28"/>
      <c r="Z2097" s="28"/>
      <c r="AA2097" s="28"/>
    </row>
    <row r="2098" spans="25:27" x14ac:dyDescent="0.2">
      <c r="Y2098" s="28"/>
      <c r="Z2098" s="28"/>
      <c r="AA2098" s="28"/>
    </row>
    <row r="2099" spans="25:27" x14ac:dyDescent="0.2">
      <c r="Y2099" s="28"/>
      <c r="Z2099" s="28"/>
      <c r="AA2099" s="28"/>
    </row>
    <row r="2100" spans="25:27" x14ac:dyDescent="0.2">
      <c r="Y2100" s="28"/>
      <c r="Z2100" s="28"/>
      <c r="AA2100" s="28"/>
    </row>
    <row r="2101" spans="25:27" x14ac:dyDescent="0.2">
      <c r="Y2101" s="28"/>
      <c r="Z2101" s="28"/>
      <c r="AA2101" s="28"/>
    </row>
    <row r="2102" spans="25:27" x14ac:dyDescent="0.2">
      <c r="Y2102" s="28"/>
      <c r="Z2102" s="28"/>
      <c r="AA2102" s="28"/>
    </row>
    <row r="2103" spans="25:27" x14ac:dyDescent="0.2">
      <c r="Y2103" s="28"/>
      <c r="Z2103" s="28"/>
      <c r="AA2103" s="28"/>
    </row>
    <row r="2104" spans="25:27" x14ac:dyDescent="0.2">
      <c r="Y2104" s="28"/>
      <c r="Z2104" s="28"/>
      <c r="AA2104" s="28"/>
    </row>
    <row r="2105" spans="25:27" x14ac:dyDescent="0.2">
      <c r="Y2105" s="28"/>
      <c r="Z2105" s="28"/>
      <c r="AA2105" s="28"/>
    </row>
    <row r="2106" spans="25:27" x14ac:dyDescent="0.2">
      <c r="Y2106" s="28"/>
      <c r="Z2106" s="28"/>
      <c r="AA2106" s="28"/>
    </row>
    <row r="2107" spans="25:27" x14ac:dyDescent="0.2">
      <c r="Y2107" s="28"/>
      <c r="Z2107" s="28"/>
      <c r="AA2107" s="28"/>
    </row>
    <row r="2108" spans="25:27" x14ac:dyDescent="0.2">
      <c r="Y2108" s="28"/>
      <c r="Z2108" s="28"/>
      <c r="AA2108" s="28"/>
    </row>
    <row r="2109" spans="25:27" x14ac:dyDescent="0.2">
      <c r="Y2109" s="28"/>
      <c r="Z2109" s="28"/>
      <c r="AA2109" s="28"/>
    </row>
    <row r="2110" spans="25:27" x14ac:dyDescent="0.2">
      <c r="Y2110" s="28"/>
      <c r="Z2110" s="28"/>
      <c r="AA2110" s="28"/>
    </row>
    <row r="2111" spans="25:27" x14ac:dyDescent="0.2">
      <c r="Y2111" s="28"/>
      <c r="Z2111" s="28"/>
      <c r="AA2111" s="28"/>
    </row>
    <row r="2112" spans="25:27" x14ac:dyDescent="0.2">
      <c r="Y2112" s="28"/>
      <c r="Z2112" s="28"/>
      <c r="AA2112" s="28"/>
    </row>
    <row r="2113" spans="25:27" x14ac:dyDescent="0.2">
      <c r="Y2113" s="28"/>
      <c r="Z2113" s="28"/>
      <c r="AA2113" s="28"/>
    </row>
    <row r="2114" spans="25:27" x14ac:dyDescent="0.2">
      <c r="Y2114" s="28"/>
      <c r="Z2114" s="28"/>
      <c r="AA2114" s="28"/>
    </row>
    <row r="2115" spans="25:27" x14ac:dyDescent="0.2">
      <c r="Y2115" s="28"/>
      <c r="Z2115" s="28"/>
      <c r="AA2115" s="28"/>
    </row>
    <row r="2116" spans="25:27" x14ac:dyDescent="0.2">
      <c r="Y2116" s="28"/>
      <c r="Z2116" s="28"/>
      <c r="AA2116" s="28"/>
    </row>
    <row r="2117" spans="25:27" x14ac:dyDescent="0.2">
      <c r="Y2117" s="28"/>
      <c r="Z2117" s="28"/>
      <c r="AA2117" s="28"/>
    </row>
    <row r="2118" spans="25:27" x14ac:dyDescent="0.2">
      <c r="Y2118" s="28"/>
      <c r="Z2118" s="28"/>
      <c r="AA2118" s="28"/>
    </row>
    <row r="2119" spans="25:27" x14ac:dyDescent="0.2">
      <c r="Y2119" s="28"/>
      <c r="Z2119" s="28"/>
      <c r="AA2119" s="28"/>
    </row>
    <row r="2120" spans="25:27" x14ac:dyDescent="0.2">
      <c r="Y2120" s="28"/>
      <c r="Z2120" s="28"/>
      <c r="AA2120" s="28"/>
    </row>
    <row r="2121" spans="25:27" x14ac:dyDescent="0.2">
      <c r="Y2121" s="28"/>
      <c r="Z2121" s="28"/>
      <c r="AA2121" s="28"/>
    </row>
    <row r="2122" spans="25:27" x14ac:dyDescent="0.2">
      <c r="Y2122" s="28"/>
      <c r="Z2122" s="28"/>
      <c r="AA2122" s="28"/>
    </row>
    <row r="2123" spans="25:27" x14ac:dyDescent="0.2">
      <c r="Y2123" s="28"/>
      <c r="Z2123" s="28"/>
      <c r="AA2123" s="28"/>
    </row>
    <row r="2124" spans="25:27" x14ac:dyDescent="0.2">
      <c r="Y2124" s="28"/>
      <c r="Z2124" s="28"/>
      <c r="AA2124" s="28"/>
    </row>
    <row r="2125" spans="25:27" x14ac:dyDescent="0.2">
      <c r="Y2125" s="28"/>
      <c r="Z2125" s="28"/>
      <c r="AA2125" s="28"/>
    </row>
    <row r="2126" spans="25:27" x14ac:dyDescent="0.2">
      <c r="Y2126" s="28"/>
      <c r="Z2126" s="28"/>
      <c r="AA2126" s="28"/>
    </row>
    <row r="2127" spans="25:27" x14ac:dyDescent="0.2">
      <c r="Y2127" s="28"/>
      <c r="Z2127" s="28"/>
      <c r="AA2127" s="28"/>
    </row>
    <row r="2128" spans="25:27" x14ac:dyDescent="0.2">
      <c r="Y2128" s="28"/>
      <c r="Z2128" s="28"/>
      <c r="AA2128" s="28"/>
    </row>
    <row r="2129" spans="25:27" x14ac:dyDescent="0.2">
      <c r="Y2129" s="28"/>
      <c r="Z2129" s="28"/>
      <c r="AA2129" s="28"/>
    </row>
    <row r="2130" spans="25:27" x14ac:dyDescent="0.2">
      <c r="Y2130" s="28"/>
      <c r="Z2130" s="28"/>
      <c r="AA2130" s="28"/>
    </row>
    <row r="2131" spans="25:27" x14ac:dyDescent="0.2">
      <c r="Y2131" s="28"/>
      <c r="Z2131" s="28"/>
      <c r="AA2131" s="28"/>
    </row>
    <row r="2132" spans="25:27" x14ac:dyDescent="0.2">
      <c r="Y2132" s="28"/>
      <c r="Z2132" s="28"/>
      <c r="AA2132" s="28"/>
    </row>
    <row r="2133" spans="25:27" x14ac:dyDescent="0.2">
      <c r="Y2133" s="28"/>
      <c r="Z2133" s="28"/>
      <c r="AA2133" s="28"/>
    </row>
    <row r="2134" spans="25:27" x14ac:dyDescent="0.2">
      <c r="Y2134" s="28"/>
      <c r="Z2134" s="28"/>
      <c r="AA2134" s="28"/>
    </row>
    <row r="2135" spans="25:27" x14ac:dyDescent="0.2">
      <c r="Y2135" s="28"/>
      <c r="Z2135" s="28"/>
      <c r="AA2135" s="28"/>
    </row>
    <row r="2136" spans="25:27" x14ac:dyDescent="0.2">
      <c r="Y2136" s="28"/>
      <c r="Z2136" s="28"/>
      <c r="AA2136" s="28"/>
    </row>
    <row r="2137" spans="25:27" x14ac:dyDescent="0.2">
      <c r="Y2137" s="28"/>
      <c r="Z2137" s="28"/>
      <c r="AA2137" s="28"/>
    </row>
    <row r="2138" spans="25:27" x14ac:dyDescent="0.2">
      <c r="Y2138" s="28"/>
      <c r="Z2138" s="28"/>
      <c r="AA2138" s="28"/>
    </row>
    <row r="2139" spans="25:27" x14ac:dyDescent="0.2">
      <c r="Y2139" s="28"/>
      <c r="Z2139" s="28"/>
      <c r="AA2139" s="28"/>
    </row>
    <row r="2140" spans="25:27" x14ac:dyDescent="0.2">
      <c r="Y2140" s="28"/>
      <c r="Z2140" s="28"/>
      <c r="AA2140" s="28"/>
    </row>
    <row r="2141" spans="25:27" x14ac:dyDescent="0.2">
      <c r="Y2141" s="28"/>
      <c r="Z2141" s="28"/>
      <c r="AA2141" s="28"/>
    </row>
    <row r="2142" spans="25:27" x14ac:dyDescent="0.2">
      <c r="Y2142" s="28"/>
      <c r="Z2142" s="28"/>
      <c r="AA2142" s="28"/>
    </row>
    <row r="2143" spans="25:27" x14ac:dyDescent="0.2">
      <c r="Y2143" s="28"/>
      <c r="Z2143" s="28"/>
      <c r="AA2143" s="28"/>
    </row>
    <row r="2144" spans="25:27" x14ac:dyDescent="0.2">
      <c r="Y2144" s="28"/>
      <c r="Z2144" s="28"/>
      <c r="AA2144" s="28"/>
    </row>
    <row r="2145" spans="25:27" x14ac:dyDescent="0.2">
      <c r="Y2145" s="28"/>
      <c r="Z2145" s="28"/>
      <c r="AA2145" s="28"/>
    </row>
    <row r="2146" spans="25:27" x14ac:dyDescent="0.2">
      <c r="Y2146" s="28"/>
      <c r="Z2146" s="28"/>
      <c r="AA2146" s="28"/>
    </row>
    <row r="2147" spans="25:27" x14ac:dyDescent="0.2">
      <c r="Y2147" s="28"/>
      <c r="Z2147" s="28"/>
      <c r="AA2147" s="28"/>
    </row>
    <row r="2148" spans="25:27" x14ac:dyDescent="0.2">
      <c r="Y2148" s="28"/>
      <c r="Z2148" s="28"/>
      <c r="AA2148" s="28"/>
    </row>
    <row r="2149" spans="25:27" x14ac:dyDescent="0.2">
      <c r="Y2149" s="28"/>
      <c r="Z2149" s="28"/>
      <c r="AA2149" s="28"/>
    </row>
    <row r="2150" spans="25:27" x14ac:dyDescent="0.2">
      <c r="Y2150" s="28"/>
      <c r="Z2150" s="28"/>
      <c r="AA2150" s="28"/>
    </row>
    <row r="2151" spans="25:27" x14ac:dyDescent="0.2">
      <c r="Y2151" s="28"/>
      <c r="Z2151" s="28"/>
      <c r="AA2151" s="28"/>
    </row>
    <row r="2152" spans="25:27" x14ac:dyDescent="0.2">
      <c r="Y2152" s="28"/>
      <c r="Z2152" s="28"/>
      <c r="AA2152" s="28"/>
    </row>
    <row r="2153" spans="25:27" x14ac:dyDescent="0.2">
      <c r="Y2153" s="28"/>
      <c r="Z2153" s="28"/>
      <c r="AA2153" s="28"/>
    </row>
    <row r="2154" spans="25:27" x14ac:dyDescent="0.2">
      <c r="Y2154" s="28"/>
      <c r="Z2154" s="28"/>
      <c r="AA2154" s="28"/>
    </row>
    <row r="2155" spans="25:27" x14ac:dyDescent="0.2">
      <c r="Y2155" s="28"/>
      <c r="Z2155" s="28"/>
      <c r="AA2155" s="28"/>
    </row>
    <row r="2156" spans="25:27" x14ac:dyDescent="0.2">
      <c r="Y2156" s="28"/>
      <c r="Z2156" s="28"/>
      <c r="AA2156" s="28"/>
    </row>
    <row r="2157" spans="25:27" x14ac:dyDescent="0.2">
      <c r="Y2157" s="28"/>
      <c r="Z2157" s="28"/>
      <c r="AA2157" s="28"/>
    </row>
    <row r="2158" spans="25:27" x14ac:dyDescent="0.2">
      <c r="Y2158" s="28"/>
      <c r="Z2158" s="28"/>
      <c r="AA2158" s="28"/>
    </row>
    <row r="2159" spans="25:27" x14ac:dyDescent="0.2">
      <c r="Y2159" s="28"/>
      <c r="Z2159" s="28"/>
      <c r="AA2159" s="28"/>
    </row>
    <row r="2160" spans="25:27" x14ac:dyDescent="0.2">
      <c r="Y2160" s="28"/>
      <c r="Z2160" s="28"/>
      <c r="AA2160" s="28"/>
    </row>
    <row r="2161" spans="25:27" x14ac:dyDescent="0.2">
      <c r="Y2161" s="28"/>
      <c r="Z2161" s="28"/>
      <c r="AA2161" s="28"/>
    </row>
    <row r="2162" spans="25:27" x14ac:dyDescent="0.2">
      <c r="Y2162" s="28"/>
      <c r="Z2162" s="28"/>
      <c r="AA2162" s="28"/>
    </row>
    <row r="2163" spans="25:27" x14ac:dyDescent="0.2">
      <c r="Y2163" s="28"/>
      <c r="Z2163" s="28"/>
      <c r="AA2163" s="28"/>
    </row>
    <row r="2164" spans="25:27" x14ac:dyDescent="0.2">
      <c r="Y2164" s="28"/>
      <c r="Z2164" s="28"/>
      <c r="AA2164" s="28"/>
    </row>
    <row r="2165" spans="25:27" x14ac:dyDescent="0.2">
      <c r="Y2165" s="28"/>
      <c r="Z2165" s="28"/>
      <c r="AA2165" s="28"/>
    </row>
    <row r="2166" spans="25:27" x14ac:dyDescent="0.2">
      <c r="Y2166" s="28"/>
      <c r="Z2166" s="28"/>
      <c r="AA2166" s="28"/>
    </row>
    <row r="2167" spans="25:27" x14ac:dyDescent="0.2">
      <c r="Y2167" s="28"/>
      <c r="Z2167" s="28"/>
      <c r="AA2167" s="28"/>
    </row>
    <row r="2168" spans="25:27" x14ac:dyDescent="0.2">
      <c r="Y2168" s="28"/>
      <c r="Z2168" s="28"/>
      <c r="AA2168" s="28"/>
    </row>
    <row r="2169" spans="25:27" x14ac:dyDescent="0.2">
      <c r="Y2169" s="28"/>
      <c r="Z2169" s="28"/>
      <c r="AA2169" s="28"/>
    </row>
    <row r="2170" spans="25:27" x14ac:dyDescent="0.2">
      <c r="Y2170" s="28"/>
      <c r="Z2170" s="28"/>
      <c r="AA2170" s="28"/>
    </row>
    <row r="2171" spans="25:27" x14ac:dyDescent="0.2">
      <c r="Y2171" s="28"/>
      <c r="Z2171" s="28"/>
      <c r="AA2171" s="28"/>
    </row>
    <row r="2172" spans="25:27" x14ac:dyDescent="0.2">
      <c r="Y2172" s="28"/>
      <c r="Z2172" s="28"/>
      <c r="AA2172" s="28"/>
    </row>
    <row r="2173" spans="25:27" x14ac:dyDescent="0.2">
      <c r="Y2173" s="28"/>
      <c r="Z2173" s="28"/>
      <c r="AA2173" s="28"/>
    </row>
    <row r="2174" spans="25:27" x14ac:dyDescent="0.2">
      <c r="Y2174" s="28"/>
      <c r="Z2174" s="28"/>
      <c r="AA2174" s="28"/>
    </row>
    <row r="2175" spans="25:27" x14ac:dyDescent="0.2">
      <c r="Y2175" s="28"/>
      <c r="Z2175" s="28"/>
      <c r="AA2175" s="28"/>
    </row>
    <row r="2176" spans="25:27" x14ac:dyDescent="0.2">
      <c r="Y2176" s="28"/>
      <c r="Z2176" s="28"/>
      <c r="AA2176" s="28"/>
    </row>
    <row r="2177" spans="25:27" x14ac:dyDescent="0.2">
      <c r="Y2177" s="28"/>
      <c r="Z2177" s="28"/>
      <c r="AA2177" s="28"/>
    </row>
    <row r="2178" spans="25:27" x14ac:dyDescent="0.2">
      <c r="Y2178" s="28"/>
      <c r="Z2178" s="28"/>
      <c r="AA2178" s="28"/>
    </row>
    <row r="2179" spans="25:27" x14ac:dyDescent="0.2">
      <c r="Y2179" s="28"/>
      <c r="Z2179" s="28"/>
      <c r="AA2179" s="28"/>
    </row>
    <row r="2180" spans="25:27" x14ac:dyDescent="0.2">
      <c r="Y2180" s="28"/>
      <c r="Z2180" s="28"/>
      <c r="AA2180" s="28"/>
    </row>
    <row r="2181" spans="25:27" x14ac:dyDescent="0.2">
      <c r="Y2181" s="28"/>
      <c r="Z2181" s="28"/>
      <c r="AA2181" s="28"/>
    </row>
    <row r="2182" spans="25:27" x14ac:dyDescent="0.2">
      <c r="Y2182" s="28"/>
      <c r="Z2182" s="28"/>
      <c r="AA2182" s="28"/>
    </row>
    <row r="2183" spans="25:27" x14ac:dyDescent="0.2">
      <c r="Y2183" s="28"/>
      <c r="Z2183" s="28"/>
      <c r="AA2183" s="28"/>
    </row>
    <row r="2184" spans="25:27" x14ac:dyDescent="0.2">
      <c r="Y2184" s="28"/>
      <c r="Z2184" s="28"/>
      <c r="AA2184" s="28"/>
    </row>
    <row r="2185" spans="25:27" x14ac:dyDescent="0.2">
      <c r="Y2185" s="28"/>
      <c r="Z2185" s="28"/>
      <c r="AA2185" s="28"/>
    </row>
    <row r="2186" spans="25:27" x14ac:dyDescent="0.2">
      <c r="Y2186" s="28"/>
      <c r="Z2186" s="28"/>
      <c r="AA2186" s="28"/>
    </row>
    <row r="2187" spans="25:27" x14ac:dyDescent="0.2">
      <c r="Y2187" s="28"/>
      <c r="Z2187" s="28"/>
      <c r="AA2187" s="28"/>
    </row>
    <row r="2188" spans="25:27" x14ac:dyDescent="0.2">
      <c r="Y2188" s="28"/>
      <c r="Z2188" s="28"/>
      <c r="AA2188" s="28"/>
    </row>
    <row r="2189" spans="25:27" x14ac:dyDescent="0.2">
      <c r="Y2189" s="28"/>
      <c r="Z2189" s="28"/>
      <c r="AA2189" s="28"/>
    </row>
    <row r="2190" spans="25:27" x14ac:dyDescent="0.2">
      <c r="Y2190" s="28"/>
      <c r="Z2190" s="28"/>
      <c r="AA2190" s="28"/>
    </row>
    <row r="2191" spans="25:27" x14ac:dyDescent="0.2">
      <c r="Y2191" s="28"/>
      <c r="Z2191" s="28"/>
      <c r="AA2191" s="28"/>
    </row>
    <row r="2192" spans="25:27" x14ac:dyDescent="0.2">
      <c r="Y2192" s="28"/>
      <c r="Z2192" s="28"/>
      <c r="AA2192" s="28"/>
    </row>
    <row r="2193" spans="25:27" x14ac:dyDescent="0.2">
      <c r="Y2193" s="28"/>
      <c r="Z2193" s="28"/>
      <c r="AA2193" s="28"/>
    </row>
    <row r="2194" spans="25:27" x14ac:dyDescent="0.2">
      <c r="Y2194" s="28"/>
      <c r="Z2194" s="28"/>
      <c r="AA2194" s="28"/>
    </row>
    <row r="2195" spans="25:27" x14ac:dyDescent="0.2">
      <c r="Y2195" s="28"/>
      <c r="Z2195" s="28"/>
      <c r="AA2195" s="28"/>
    </row>
    <row r="2196" spans="25:27" x14ac:dyDescent="0.2">
      <c r="Y2196" s="28"/>
      <c r="Z2196" s="28"/>
      <c r="AA2196" s="28"/>
    </row>
    <row r="2197" spans="25:27" x14ac:dyDescent="0.2">
      <c r="Y2197" s="28"/>
      <c r="Z2197" s="28"/>
      <c r="AA2197" s="28"/>
    </row>
    <row r="2198" spans="25:27" x14ac:dyDescent="0.2">
      <c r="Y2198" s="28"/>
      <c r="Z2198" s="28"/>
      <c r="AA2198" s="28"/>
    </row>
    <row r="2199" spans="25:27" x14ac:dyDescent="0.2">
      <c r="Y2199" s="28"/>
      <c r="Z2199" s="28"/>
      <c r="AA2199" s="28"/>
    </row>
    <row r="2200" spans="25:27" x14ac:dyDescent="0.2">
      <c r="Y2200" s="28"/>
      <c r="Z2200" s="28"/>
      <c r="AA2200" s="28"/>
    </row>
    <row r="2201" spans="25:27" x14ac:dyDescent="0.2">
      <c r="Y2201" s="28"/>
      <c r="Z2201" s="28"/>
      <c r="AA2201" s="28"/>
    </row>
    <row r="2202" spans="25:27" x14ac:dyDescent="0.2">
      <c r="Y2202" s="28"/>
      <c r="Z2202" s="28"/>
      <c r="AA2202" s="28"/>
    </row>
    <row r="2203" spans="25:27" x14ac:dyDescent="0.2">
      <c r="Y2203" s="28"/>
      <c r="Z2203" s="28"/>
      <c r="AA2203" s="28"/>
    </row>
    <row r="2204" spans="25:27" x14ac:dyDescent="0.2">
      <c r="Y2204" s="28"/>
      <c r="Z2204" s="28"/>
      <c r="AA2204" s="28"/>
    </row>
    <row r="2205" spans="25:27" x14ac:dyDescent="0.2">
      <c r="Y2205" s="28"/>
      <c r="Z2205" s="28"/>
      <c r="AA2205" s="28"/>
    </row>
    <row r="2206" spans="25:27" x14ac:dyDescent="0.2">
      <c r="Y2206" s="28"/>
      <c r="Z2206" s="28"/>
      <c r="AA2206" s="28"/>
    </row>
    <row r="2207" spans="25:27" x14ac:dyDescent="0.2">
      <c r="Y2207" s="28"/>
      <c r="Z2207" s="28"/>
      <c r="AA2207" s="28"/>
    </row>
    <row r="2208" spans="25:27" x14ac:dyDescent="0.2">
      <c r="Y2208" s="28"/>
      <c r="Z2208" s="28"/>
      <c r="AA2208" s="28"/>
    </row>
    <row r="2209" spans="25:27" x14ac:dyDescent="0.2">
      <c r="Y2209" s="28"/>
      <c r="Z2209" s="28"/>
      <c r="AA2209" s="28"/>
    </row>
    <row r="2210" spans="25:27" x14ac:dyDescent="0.2">
      <c r="Y2210" s="28"/>
      <c r="Z2210" s="28"/>
      <c r="AA2210" s="28"/>
    </row>
    <row r="2211" spans="25:27" x14ac:dyDescent="0.2">
      <c r="Y2211" s="28"/>
      <c r="Z2211" s="28"/>
      <c r="AA2211" s="28"/>
    </row>
    <row r="2212" spans="25:27" x14ac:dyDescent="0.2">
      <c r="Y2212" s="28"/>
      <c r="Z2212" s="28"/>
      <c r="AA2212" s="28"/>
    </row>
    <row r="2213" spans="25:27" x14ac:dyDescent="0.2">
      <c r="Y2213" s="28"/>
      <c r="Z2213" s="28"/>
      <c r="AA2213" s="28"/>
    </row>
    <row r="2214" spans="25:27" x14ac:dyDescent="0.2">
      <c r="Y2214" s="28"/>
      <c r="Z2214" s="28"/>
      <c r="AA2214" s="28"/>
    </row>
    <row r="2215" spans="25:27" x14ac:dyDescent="0.2">
      <c r="Y2215" s="28"/>
      <c r="Z2215" s="28"/>
      <c r="AA2215" s="28"/>
    </row>
    <row r="2216" spans="25:27" x14ac:dyDescent="0.2">
      <c r="Y2216" s="28"/>
      <c r="Z2216" s="28"/>
      <c r="AA2216" s="28"/>
    </row>
    <row r="2217" spans="25:27" x14ac:dyDescent="0.2">
      <c r="Y2217" s="28"/>
      <c r="Z2217" s="28"/>
      <c r="AA2217" s="28"/>
    </row>
    <row r="2218" spans="25:27" x14ac:dyDescent="0.2">
      <c r="Y2218" s="28"/>
      <c r="Z2218" s="28"/>
      <c r="AA2218" s="28"/>
    </row>
    <row r="2219" spans="25:27" x14ac:dyDescent="0.2">
      <c r="Y2219" s="28"/>
      <c r="Z2219" s="28"/>
      <c r="AA2219" s="28"/>
    </row>
    <row r="2220" spans="25:27" x14ac:dyDescent="0.2">
      <c r="Y2220" s="28"/>
      <c r="Z2220" s="28"/>
      <c r="AA2220" s="28"/>
    </row>
    <row r="2221" spans="25:27" x14ac:dyDescent="0.2">
      <c r="Y2221" s="28"/>
      <c r="Z2221" s="28"/>
      <c r="AA2221" s="28"/>
    </row>
    <row r="2222" spans="25:27" x14ac:dyDescent="0.2">
      <c r="Y2222" s="28"/>
      <c r="Z2222" s="28"/>
      <c r="AA2222" s="28"/>
    </row>
    <row r="2223" spans="25:27" x14ac:dyDescent="0.2">
      <c r="Y2223" s="28"/>
      <c r="Z2223" s="28"/>
      <c r="AA2223" s="28"/>
    </row>
    <row r="2224" spans="25:27" x14ac:dyDescent="0.2">
      <c r="Y2224" s="28"/>
      <c r="Z2224" s="28"/>
      <c r="AA2224" s="28"/>
    </row>
    <row r="2225" spans="25:27" x14ac:dyDescent="0.2">
      <c r="Y2225" s="28"/>
      <c r="Z2225" s="28"/>
      <c r="AA2225" s="28"/>
    </row>
    <row r="2226" spans="25:27" x14ac:dyDescent="0.2">
      <c r="Y2226" s="28"/>
      <c r="Z2226" s="28"/>
      <c r="AA2226" s="28"/>
    </row>
    <row r="2227" spans="25:27" x14ac:dyDescent="0.2">
      <c r="Y2227" s="28"/>
      <c r="Z2227" s="28"/>
      <c r="AA2227" s="28"/>
    </row>
    <row r="2228" spans="25:27" x14ac:dyDescent="0.2">
      <c r="Y2228" s="28"/>
      <c r="Z2228" s="28"/>
      <c r="AA2228" s="28"/>
    </row>
    <row r="2229" spans="25:27" x14ac:dyDescent="0.2">
      <c r="Y2229" s="28"/>
      <c r="Z2229" s="28"/>
      <c r="AA2229" s="28"/>
    </row>
    <row r="2230" spans="25:27" x14ac:dyDescent="0.2">
      <c r="Y2230" s="28"/>
      <c r="Z2230" s="28"/>
      <c r="AA2230" s="28"/>
    </row>
    <row r="2231" spans="25:27" x14ac:dyDescent="0.2">
      <c r="Y2231" s="28"/>
      <c r="Z2231" s="28"/>
      <c r="AA2231" s="28"/>
    </row>
    <row r="2232" spans="25:27" x14ac:dyDescent="0.2">
      <c r="Y2232" s="28"/>
      <c r="Z2232" s="28"/>
      <c r="AA2232" s="28"/>
    </row>
    <row r="2233" spans="25:27" x14ac:dyDescent="0.2">
      <c r="Y2233" s="28"/>
      <c r="Z2233" s="28"/>
      <c r="AA2233" s="28"/>
    </row>
    <row r="2234" spans="25:27" x14ac:dyDescent="0.2">
      <c r="Y2234" s="28"/>
      <c r="Z2234" s="28"/>
      <c r="AA2234" s="28"/>
    </row>
    <row r="2235" spans="25:27" x14ac:dyDescent="0.2">
      <c r="Y2235" s="28"/>
      <c r="Z2235" s="28"/>
      <c r="AA2235" s="28"/>
    </row>
    <row r="2236" spans="25:27" x14ac:dyDescent="0.2">
      <c r="Y2236" s="28"/>
      <c r="Z2236" s="28"/>
      <c r="AA2236" s="28"/>
    </row>
    <row r="2237" spans="25:27" x14ac:dyDescent="0.2">
      <c r="Y2237" s="28"/>
      <c r="Z2237" s="28"/>
      <c r="AA2237" s="28"/>
    </row>
    <row r="2238" spans="25:27" x14ac:dyDescent="0.2">
      <c r="Y2238" s="28"/>
      <c r="Z2238" s="28"/>
      <c r="AA2238" s="28"/>
    </row>
    <row r="2239" spans="25:27" x14ac:dyDescent="0.2">
      <c r="Y2239" s="28"/>
      <c r="Z2239" s="28"/>
      <c r="AA2239" s="28"/>
    </row>
    <row r="2240" spans="25:27" x14ac:dyDescent="0.2">
      <c r="Y2240" s="28"/>
      <c r="Z2240" s="28"/>
      <c r="AA2240" s="28"/>
    </row>
    <row r="2241" spans="25:27" x14ac:dyDescent="0.2">
      <c r="Y2241" s="28"/>
      <c r="Z2241" s="28"/>
      <c r="AA2241" s="28"/>
    </row>
    <row r="2242" spans="25:27" x14ac:dyDescent="0.2">
      <c r="Y2242" s="28"/>
      <c r="Z2242" s="28"/>
      <c r="AA2242" s="28"/>
    </row>
    <row r="2243" spans="25:27" x14ac:dyDescent="0.2">
      <c r="Y2243" s="28"/>
      <c r="Z2243" s="28"/>
      <c r="AA2243" s="28"/>
    </row>
    <row r="2244" spans="25:27" x14ac:dyDescent="0.2">
      <c r="Y2244" s="28"/>
      <c r="Z2244" s="28"/>
      <c r="AA2244" s="28"/>
    </row>
    <row r="2245" spans="25:27" x14ac:dyDescent="0.2">
      <c r="Y2245" s="28"/>
      <c r="Z2245" s="28"/>
      <c r="AA2245" s="28"/>
    </row>
    <row r="2246" spans="25:27" x14ac:dyDescent="0.2">
      <c r="Y2246" s="28"/>
      <c r="Z2246" s="28"/>
      <c r="AA2246" s="28"/>
    </row>
    <row r="2247" spans="25:27" x14ac:dyDescent="0.2">
      <c r="Y2247" s="28"/>
      <c r="Z2247" s="28"/>
      <c r="AA2247" s="28"/>
    </row>
    <row r="2248" spans="25:27" x14ac:dyDescent="0.2">
      <c r="Y2248" s="28"/>
      <c r="Z2248" s="28"/>
      <c r="AA2248" s="28"/>
    </row>
    <row r="2249" spans="25:27" x14ac:dyDescent="0.2">
      <c r="Y2249" s="28"/>
      <c r="Z2249" s="28"/>
      <c r="AA2249" s="28"/>
    </row>
    <row r="2250" spans="25:27" x14ac:dyDescent="0.2">
      <c r="Y2250" s="28"/>
      <c r="Z2250" s="28"/>
      <c r="AA2250" s="28"/>
    </row>
    <row r="2251" spans="25:27" x14ac:dyDescent="0.2">
      <c r="Y2251" s="28"/>
      <c r="Z2251" s="28"/>
      <c r="AA2251" s="28"/>
    </row>
    <row r="2252" spans="25:27" x14ac:dyDescent="0.2">
      <c r="Y2252" s="28"/>
      <c r="Z2252" s="28"/>
      <c r="AA2252" s="28"/>
    </row>
    <row r="2253" spans="25:27" x14ac:dyDescent="0.2">
      <c r="Y2253" s="28"/>
      <c r="Z2253" s="28"/>
      <c r="AA2253" s="28"/>
    </row>
    <row r="2254" spans="25:27" x14ac:dyDescent="0.2">
      <c r="Y2254" s="28"/>
      <c r="Z2254" s="28"/>
      <c r="AA2254" s="28"/>
    </row>
    <row r="2255" spans="25:27" x14ac:dyDescent="0.2">
      <c r="Y2255" s="28"/>
      <c r="Z2255" s="28"/>
      <c r="AA2255" s="28"/>
    </row>
    <row r="2256" spans="25:27" x14ac:dyDescent="0.2">
      <c r="Y2256" s="28"/>
      <c r="Z2256" s="28"/>
      <c r="AA2256" s="28"/>
    </row>
    <row r="2257" spans="25:27" x14ac:dyDescent="0.2">
      <c r="Y2257" s="28"/>
      <c r="Z2257" s="28"/>
      <c r="AA2257" s="28"/>
    </row>
    <row r="2258" spans="25:27" x14ac:dyDescent="0.2">
      <c r="Y2258" s="28"/>
      <c r="Z2258" s="28"/>
      <c r="AA2258" s="28"/>
    </row>
    <row r="2259" spans="25:27" x14ac:dyDescent="0.2">
      <c r="Y2259" s="28"/>
      <c r="Z2259" s="28"/>
      <c r="AA2259" s="28"/>
    </row>
    <row r="2260" spans="25:27" x14ac:dyDescent="0.2">
      <c r="Y2260" s="28"/>
      <c r="Z2260" s="28"/>
      <c r="AA2260" s="28"/>
    </row>
    <row r="2261" spans="25:27" x14ac:dyDescent="0.2">
      <c r="Y2261" s="28"/>
      <c r="Z2261" s="28"/>
      <c r="AA2261" s="28"/>
    </row>
    <row r="2262" spans="25:27" x14ac:dyDescent="0.2">
      <c r="Y2262" s="28"/>
      <c r="Z2262" s="28"/>
      <c r="AA2262" s="28"/>
    </row>
    <row r="2263" spans="25:27" x14ac:dyDescent="0.2">
      <c r="Y2263" s="28"/>
      <c r="Z2263" s="28"/>
      <c r="AA2263" s="28"/>
    </row>
    <row r="2264" spans="25:27" x14ac:dyDescent="0.2">
      <c r="Y2264" s="28"/>
      <c r="Z2264" s="28"/>
      <c r="AA2264" s="28"/>
    </row>
    <row r="2265" spans="25:27" x14ac:dyDescent="0.2">
      <c r="Y2265" s="28"/>
      <c r="Z2265" s="28"/>
      <c r="AA2265" s="28"/>
    </row>
    <row r="2266" spans="25:27" x14ac:dyDescent="0.2">
      <c r="Y2266" s="28"/>
      <c r="Z2266" s="28"/>
      <c r="AA2266" s="28"/>
    </row>
    <row r="2267" spans="25:27" x14ac:dyDescent="0.2">
      <c r="Y2267" s="28"/>
      <c r="Z2267" s="28"/>
      <c r="AA2267" s="28"/>
    </row>
    <row r="2268" spans="25:27" x14ac:dyDescent="0.2">
      <c r="Y2268" s="28"/>
      <c r="Z2268" s="28"/>
      <c r="AA2268" s="28"/>
    </row>
    <row r="2269" spans="25:27" x14ac:dyDescent="0.2">
      <c r="Y2269" s="28"/>
      <c r="Z2269" s="28"/>
      <c r="AA2269" s="28"/>
    </row>
    <row r="2270" spans="25:27" x14ac:dyDescent="0.2">
      <c r="Y2270" s="28"/>
      <c r="Z2270" s="28"/>
      <c r="AA2270" s="28"/>
    </row>
    <row r="2271" spans="25:27" x14ac:dyDescent="0.2">
      <c r="Y2271" s="28"/>
      <c r="Z2271" s="28"/>
      <c r="AA2271" s="28"/>
    </row>
    <row r="2272" spans="25:27" x14ac:dyDescent="0.2">
      <c r="Y2272" s="28"/>
      <c r="Z2272" s="28"/>
      <c r="AA2272" s="28"/>
    </row>
    <row r="2273" spans="25:27" x14ac:dyDescent="0.2">
      <c r="Y2273" s="28"/>
      <c r="Z2273" s="28"/>
      <c r="AA2273" s="28"/>
    </row>
    <row r="2274" spans="25:27" x14ac:dyDescent="0.2">
      <c r="Y2274" s="28"/>
      <c r="Z2274" s="28"/>
      <c r="AA2274" s="28"/>
    </row>
    <row r="2275" spans="25:27" x14ac:dyDescent="0.2">
      <c r="Y2275" s="28"/>
      <c r="Z2275" s="28"/>
      <c r="AA2275" s="28"/>
    </row>
    <row r="2276" spans="25:27" x14ac:dyDescent="0.2">
      <c r="Y2276" s="28"/>
      <c r="Z2276" s="28"/>
      <c r="AA2276" s="28"/>
    </row>
    <row r="2277" spans="25:27" x14ac:dyDescent="0.2">
      <c r="Y2277" s="28"/>
      <c r="Z2277" s="28"/>
      <c r="AA2277" s="28"/>
    </row>
    <row r="2278" spans="25:27" x14ac:dyDescent="0.2">
      <c r="Y2278" s="28"/>
      <c r="Z2278" s="28"/>
      <c r="AA2278" s="28"/>
    </row>
    <row r="2279" spans="25:27" x14ac:dyDescent="0.2">
      <c r="Y2279" s="28"/>
      <c r="Z2279" s="28"/>
      <c r="AA2279" s="28"/>
    </row>
    <row r="2280" spans="25:27" x14ac:dyDescent="0.2">
      <c r="Y2280" s="28"/>
      <c r="Z2280" s="28"/>
      <c r="AA2280" s="28"/>
    </row>
    <row r="2281" spans="25:27" x14ac:dyDescent="0.2">
      <c r="Y2281" s="28"/>
      <c r="Z2281" s="28"/>
      <c r="AA2281" s="28"/>
    </row>
    <row r="2282" spans="25:27" x14ac:dyDescent="0.2">
      <c r="Y2282" s="28"/>
      <c r="Z2282" s="28"/>
      <c r="AA2282" s="28"/>
    </row>
    <row r="2283" spans="25:27" x14ac:dyDescent="0.2">
      <c r="Y2283" s="28"/>
      <c r="Z2283" s="28"/>
      <c r="AA2283" s="28"/>
    </row>
    <row r="2284" spans="25:27" x14ac:dyDescent="0.2">
      <c r="Y2284" s="28"/>
      <c r="Z2284" s="28"/>
      <c r="AA2284" s="28"/>
    </row>
    <row r="2285" spans="25:27" x14ac:dyDescent="0.2">
      <c r="Y2285" s="28"/>
      <c r="Z2285" s="28"/>
      <c r="AA2285" s="28"/>
    </row>
    <row r="2286" spans="25:27" x14ac:dyDescent="0.2">
      <c r="Y2286" s="28"/>
      <c r="Z2286" s="28"/>
      <c r="AA2286" s="28"/>
    </row>
    <row r="2287" spans="25:27" x14ac:dyDescent="0.2">
      <c r="Y2287" s="28"/>
      <c r="Z2287" s="28"/>
      <c r="AA2287" s="28"/>
    </row>
    <row r="2288" spans="25:27" x14ac:dyDescent="0.2">
      <c r="Y2288" s="28"/>
      <c r="Z2288" s="28"/>
      <c r="AA2288" s="28"/>
    </row>
    <row r="2289" spans="25:27" x14ac:dyDescent="0.2">
      <c r="Y2289" s="28"/>
      <c r="Z2289" s="28"/>
      <c r="AA2289" s="28"/>
    </row>
    <row r="2290" spans="25:27" x14ac:dyDescent="0.2">
      <c r="Y2290" s="28"/>
      <c r="Z2290" s="28"/>
      <c r="AA2290" s="28"/>
    </row>
    <row r="2291" spans="25:27" x14ac:dyDescent="0.2">
      <c r="Y2291" s="28"/>
      <c r="Z2291" s="28"/>
      <c r="AA2291" s="28"/>
    </row>
    <row r="2292" spans="25:27" x14ac:dyDescent="0.2">
      <c r="Y2292" s="28"/>
      <c r="Z2292" s="28"/>
      <c r="AA2292" s="28"/>
    </row>
    <row r="2293" spans="25:27" x14ac:dyDescent="0.2">
      <c r="Y2293" s="28"/>
      <c r="Z2293" s="28"/>
      <c r="AA2293" s="28"/>
    </row>
    <row r="2294" spans="25:27" x14ac:dyDescent="0.2">
      <c r="Y2294" s="28"/>
      <c r="Z2294" s="28"/>
      <c r="AA2294" s="28"/>
    </row>
    <row r="2295" spans="25:27" x14ac:dyDescent="0.2">
      <c r="Y2295" s="28"/>
      <c r="Z2295" s="28"/>
      <c r="AA2295" s="28"/>
    </row>
    <row r="2296" spans="25:27" x14ac:dyDescent="0.2">
      <c r="Y2296" s="28"/>
      <c r="Z2296" s="28"/>
      <c r="AA2296" s="28"/>
    </row>
    <row r="2297" spans="25:27" x14ac:dyDescent="0.2">
      <c r="Y2297" s="28"/>
      <c r="Z2297" s="28"/>
      <c r="AA2297" s="28"/>
    </row>
    <row r="2298" spans="25:27" x14ac:dyDescent="0.2">
      <c r="Y2298" s="28"/>
      <c r="Z2298" s="28"/>
      <c r="AA2298" s="28"/>
    </row>
    <row r="2299" spans="25:27" x14ac:dyDescent="0.2">
      <c r="Y2299" s="28"/>
      <c r="Z2299" s="28"/>
      <c r="AA2299" s="28"/>
    </row>
    <row r="2300" spans="25:27" x14ac:dyDescent="0.2">
      <c r="Y2300" s="28"/>
      <c r="Z2300" s="28"/>
      <c r="AA2300" s="28"/>
    </row>
    <row r="2301" spans="25:27" x14ac:dyDescent="0.2">
      <c r="Y2301" s="28"/>
      <c r="Z2301" s="28"/>
      <c r="AA2301" s="28"/>
    </row>
    <row r="2302" spans="25:27" x14ac:dyDescent="0.2">
      <c r="Y2302" s="28"/>
      <c r="Z2302" s="28"/>
      <c r="AA2302" s="28"/>
    </row>
    <row r="2303" spans="25:27" x14ac:dyDescent="0.2">
      <c r="Y2303" s="28"/>
      <c r="Z2303" s="28"/>
      <c r="AA2303" s="28"/>
    </row>
    <row r="2304" spans="25:27" x14ac:dyDescent="0.2">
      <c r="Y2304" s="28"/>
      <c r="Z2304" s="28"/>
      <c r="AA2304" s="28"/>
    </row>
    <row r="2305" spans="25:27" x14ac:dyDescent="0.2">
      <c r="Y2305" s="28"/>
      <c r="Z2305" s="28"/>
      <c r="AA2305" s="28"/>
    </row>
    <row r="2306" spans="25:27" x14ac:dyDescent="0.2">
      <c r="Y2306" s="28"/>
      <c r="Z2306" s="28"/>
      <c r="AA2306" s="28"/>
    </row>
    <row r="2307" spans="25:27" x14ac:dyDescent="0.2">
      <c r="Y2307" s="28"/>
      <c r="Z2307" s="28"/>
      <c r="AA2307" s="28"/>
    </row>
    <row r="2308" spans="25:27" x14ac:dyDescent="0.2">
      <c r="Y2308" s="28"/>
      <c r="Z2308" s="28"/>
      <c r="AA2308" s="28"/>
    </row>
    <row r="2309" spans="25:27" x14ac:dyDescent="0.2">
      <c r="Y2309" s="28"/>
      <c r="Z2309" s="28"/>
      <c r="AA2309" s="28"/>
    </row>
    <row r="2310" spans="25:27" x14ac:dyDescent="0.2">
      <c r="Y2310" s="28"/>
      <c r="Z2310" s="28"/>
      <c r="AA2310" s="28"/>
    </row>
    <row r="2311" spans="25:27" x14ac:dyDescent="0.2">
      <c r="Y2311" s="28"/>
      <c r="Z2311" s="28"/>
      <c r="AA2311" s="28"/>
    </row>
    <row r="2312" spans="25:27" x14ac:dyDescent="0.2">
      <c r="Y2312" s="28"/>
      <c r="Z2312" s="28"/>
      <c r="AA2312" s="28"/>
    </row>
    <row r="2313" spans="25:27" x14ac:dyDescent="0.2">
      <c r="Y2313" s="28"/>
      <c r="Z2313" s="28"/>
      <c r="AA2313" s="28"/>
    </row>
    <row r="2314" spans="25:27" x14ac:dyDescent="0.2">
      <c r="Y2314" s="28"/>
      <c r="Z2314" s="28"/>
      <c r="AA2314" s="28"/>
    </row>
    <row r="2315" spans="25:27" x14ac:dyDescent="0.2">
      <c r="Y2315" s="28"/>
      <c r="Z2315" s="28"/>
      <c r="AA2315" s="28"/>
    </row>
    <row r="2316" spans="25:27" x14ac:dyDescent="0.2">
      <c r="Y2316" s="28"/>
      <c r="Z2316" s="28"/>
      <c r="AA2316" s="28"/>
    </row>
    <row r="2317" spans="25:27" x14ac:dyDescent="0.2">
      <c r="Y2317" s="28"/>
      <c r="Z2317" s="28"/>
      <c r="AA2317" s="28"/>
    </row>
    <row r="2318" spans="25:27" x14ac:dyDescent="0.2">
      <c r="Y2318" s="28"/>
      <c r="Z2318" s="28"/>
      <c r="AA2318" s="28"/>
    </row>
    <row r="2319" spans="25:27" x14ac:dyDescent="0.2">
      <c r="Y2319" s="28"/>
      <c r="Z2319" s="28"/>
      <c r="AA2319" s="28"/>
    </row>
    <row r="2320" spans="25:27" x14ac:dyDescent="0.2">
      <c r="Y2320" s="28"/>
      <c r="Z2320" s="28"/>
      <c r="AA2320" s="28"/>
    </row>
    <row r="2321" spans="25:27" x14ac:dyDescent="0.2">
      <c r="Y2321" s="28"/>
      <c r="Z2321" s="28"/>
      <c r="AA2321" s="28"/>
    </row>
    <row r="2322" spans="25:27" x14ac:dyDescent="0.2">
      <c r="Y2322" s="28"/>
      <c r="Z2322" s="28"/>
      <c r="AA2322" s="28"/>
    </row>
    <row r="2323" spans="25:27" x14ac:dyDescent="0.2">
      <c r="Y2323" s="28"/>
      <c r="Z2323" s="28"/>
      <c r="AA2323" s="28"/>
    </row>
    <row r="2324" spans="25:27" x14ac:dyDescent="0.2">
      <c r="Y2324" s="28"/>
      <c r="Z2324" s="28"/>
      <c r="AA2324" s="28"/>
    </row>
    <row r="2325" spans="25:27" x14ac:dyDescent="0.2">
      <c r="Y2325" s="28"/>
      <c r="Z2325" s="28"/>
      <c r="AA2325" s="28"/>
    </row>
    <row r="2326" spans="25:27" x14ac:dyDescent="0.2">
      <c r="Y2326" s="28"/>
      <c r="Z2326" s="28"/>
      <c r="AA2326" s="28"/>
    </row>
    <row r="2327" spans="25:27" x14ac:dyDescent="0.2">
      <c r="Y2327" s="28"/>
      <c r="Z2327" s="28"/>
      <c r="AA2327" s="28"/>
    </row>
    <row r="2328" spans="25:27" x14ac:dyDescent="0.2">
      <c r="Y2328" s="28"/>
      <c r="Z2328" s="28"/>
      <c r="AA2328" s="28"/>
    </row>
    <row r="2329" spans="25:27" x14ac:dyDescent="0.2">
      <c r="Y2329" s="28"/>
      <c r="Z2329" s="28"/>
      <c r="AA2329" s="28"/>
    </row>
    <row r="2330" spans="25:27" x14ac:dyDescent="0.2">
      <c r="Y2330" s="28"/>
      <c r="Z2330" s="28"/>
      <c r="AA2330" s="28"/>
    </row>
    <row r="2331" spans="25:27" x14ac:dyDescent="0.2">
      <c r="Y2331" s="28"/>
      <c r="Z2331" s="28"/>
      <c r="AA2331" s="28"/>
    </row>
    <row r="2332" spans="25:27" x14ac:dyDescent="0.2">
      <c r="Y2332" s="28"/>
      <c r="Z2332" s="28"/>
      <c r="AA2332" s="28"/>
    </row>
    <row r="2333" spans="25:27" x14ac:dyDescent="0.2">
      <c r="Y2333" s="28"/>
      <c r="Z2333" s="28"/>
      <c r="AA2333" s="28"/>
    </row>
    <row r="2334" spans="25:27" x14ac:dyDescent="0.2">
      <c r="Y2334" s="28"/>
      <c r="Z2334" s="28"/>
      <c r="AA2334" s="28"/>
    </row>
    <row r="2335" spans="25:27" x14ac:dyDescent="0.2">
      <c r="Y2335" s="28"/>
      <c r="Z2335" s="28"/>
      <c r="AA2335" s="28"/>
    </row>
    <row r="2336" spans="25:27" x14ac:dyDescent="0.2">
      <c r="Y2336" s="28"/>
      <c r="Z2336" s="28"/>
      <c r="AA2336" s="28"/>
    </row>
    <row r="2337" spans="25:27" x14ac:dyDescent="0.2">
      <c r="Y2337" s="28"/>
      <c r="Z2337" s="28"/>
      <c r="AA2337" s="28"/>
    </row>
    <row r="2338" spans="25:27" x14ac:dyDescent="0.2">
      <c r="Y2338" s="28"/>
      <c r="Z2338" s="28"/>
      <c r="AA2338" s="28"/>
    </row>
    <row r="2339" spans="25:27" x14ac:dyDescent="0.2">
      <c r="Y2339" s="28"/>
      <c r="Z2339" s="28"/>
      <c r="AA2339" s="28"/>
    </row>
    <row r="2340" spans="25:27" x14ac:dyDescent="0.2">
      <c r="Y2340" s="28"/>
      <c r="Z2340" s="28"/>
      <c r="AA2340" s="28"/>
    </row>
    <row r="2341" spans="25:27" x14ac:dyDescent="0.2">
      <c r="Y2341" s="28"/>
      <c r="Z2341" s="28"/>
      <c r="AA2341" s="28"/>
    </row>
    <row r="2342" spans="25:27" x14ac:dyDescent="0.2">
      <c r="Y2342" s="28"/>
      <c r="Z2342" s="28"/>
      <c r="AA2342" s="28"/>
    </row>
    <row r="2343" spans="25:27" x14ac:dyDescent="0.2">
      <c r="Y2343" s="28"/>
      <c r="Z2343" s="28"/>
      <c r="AA2343" s="28"/>
    </row>
    <row r="2344" spans="25:27" x14ac:dyDescent="0.2">
      <c r="Y2344" s="28"/>
      <c r="Z2344" s="28"/>
      <c r="AA2344" s="28"/>
    </row>
    <row r="2345" spans="25:27" x14ac:dyDescent="0.2">
      <c r="Y2345" s="28"/>
      <c r="Z2345" s="28"/>
      <c r="AA2345" s="28"/>
    </row>
    <row r="2346" spans="25:27" x14ac:dyDescent="0.2">
      <c r="Y2346" s="28"/>
      <c r="Z2346" s="28"/>
      <c r="AA2346" s="28"/>
    </row>
    <row r="2347" spans="25:27" x14ac:dyDescent="0.2">
      <c r="Y2347" s="28"/>
      <c r="Z2347" s="28"/>
      <c r="AA2347" s="28"/>
    </row>
    <row r="2348" spans="25:27" x14ac:dyDescent="0.2">
      <c r="Y2348" s="28"/>
      <c r="Z2348" s="28"/>
      <c r="AA2348" s="28"/>
    </row>
    <row r="2349" spans="25:27" x14ac:dyDescent="0.2">
      <c r="Y2349" s="28"/>
      <c r="Z2349" s="28"/>
      <c r="AA2349" s="28"/>
    </row>
    <row r="2350" spans="25:27" x14ac:dyDescent="0.2">
      <c r="Y2350" s="28"/>
      <c r="Z2350" s="28"/>
      <c r="AA2350" s="28"/>
    </row>
    <row r="2351" spans="25:27" x14ac:dyDescent="0.2">
      <c r="Y2351" s="28"/>
      <c r="Z2351" s="28"/>
      <c r="AA2351" s="28"/>
    </row>
    <row r="2352" spans="25:27" x14ac:dyDescent="0.2">
      <c r="Y2352" s="28"/>
      <c r="Z2352" s="28"/>
      <c r="AA2352" s="28"/>
    </row>
    <row r="2353" spans="25:27" x14ac:dyDescent="0.2">
      <c r="Y2353" s="28"/>
      <c r="Z2353" s="28"/>
      <c r="AA2353" s="28"/>
    </row>
    <row r="2354" spans="25:27" x14ac:dyDescent="0.2">
      <c r="Y2354" s="28"/>
      <c r="Z2354" s="28"/>
      <c r="AA2354" s="28"/>
    </row>
    <row r="2355" spans="25:27" x14ac:dyDescent="0.2">
      <c r="Y2355" s="28"/>
      <c r="Z2355" s="28"/>
      <c r="AA2355" s="28"/>
    </row>
    <row r="2356" spans="25:27" x14ac:dyDescent="0.2">
      <c r="Y2356" s="28"/>
      <c r="Z2356" s="28"/>
      <c r="AA2356" s="28"/>
    </row>
    <row r="2357" spans="25:27" x14ac:dyDescent="0.2">
      <c r="Y2357" s="28"/>
      <c r="Z2357" s="28"/>
      <c r="AA2357" s="28"/>
    </row>
    <row r="2358" spans="25:27" x14ac:dyDescent="0.2">
      <c r="Y2358" s="28"/>
      <c r="Z2358" s="28"/>
      <c r="AA2358" s="28"/>
    </row>
    <row r="2359" spans="25:27" x14ac:dyDescent="0.2">
      <c r="Y2359" s="28"/>
      <c r="Z2359" s="28"/>
      <c r="AA2359" s="28"/>
    </row>
    <row r="2360" spans="25:27" x14ac:dyDescent="0.2">
      <c r="Y2360" s="28"/>
      <c r="Z2360" s="28"/>
      <c r="AA2360" s="28"/>
    </row>
    <row r="2361" spans="25:27" x14ac:dyDescent="0.2">
      <c r="Y2361" s="28"/>
      <c r="Z2361" s="28"/>
      <c r="AA2361" s="28"/>
    </row>
    <row r="2362" spans="25:27" x14ac:dyDescent="0.2">
      <c r="Y2362" s="28"/>
      <c r="Z2362" s="28"/>
      <c r="AA2362" s="28"/>
    </row>
    <row r="2363" spans="25:27" x14ac:dyDescent="0.2">
      <c r="Y2363" s="28"/>
      <c r="Z2363" s="28"/>
      <c r="AA2363" s="28"/>
    </row>
    <row r="2364" spans="25:27" x14ac:dyDescent="0.2">
      <c r="Y2364" s="28"/>
      <c r="Z2364" s="28"/>
      <c r="AA2364" s="28"/>
    </row>
    <row r="2365" spans="25:27" x14ac:dyDescent="0.2">
      <c r="Y2365" s="28"/>
      <c r="Z2365" s="28"/>
      <c r="AA2365" s="28"/>
    </row>
    <row r="2366" spans="25:27" x14ac:dyDescent="0.2">
      <c r="Y2366" s="28"/>
      <c r="Z2366" s="28"/>
      <c r="AA2366" s="28"/>
    </row>
    <row r="2367" spans="25:27" x14ac:dyDescent="0.2">
      <c r="Y2367" s="28"/>
      <c r="Z2367" s="28"/>
      <c r="AA2367" s="28"/>
    </row>
    <row r="2368" spans="25:27" x14ac:dyDescent="0.2">
      <c r="Y2368" s="28"/>
      <c r="Z2368" s="28"/>
      <c r="AA2368" s="28"/>
    </row>
    <row r="2369" spans="25:27" x14ac:dyDescent="0.2">
      <c r="Y2369" s="28"/>
      <c r="Z2369" s="28"/>
      <c r="AA2369" s="28"/>
    </row>
    <row r="2370" spans="25:27" x14ac:dyDescent="0.2">
      <c r="Y2370" s="28"/>
      <c r="Z2370" s="28"/>
      <c r="AA2370" s="28"/>
    </row>
    <row r="2371" spans="25:27" x14ac:dyDescent="0.2">
      <c r="Y2371" s="28"/>
      <c r="Z2371" s="28"/>
      <c r="AA2371" s="28"/>
    </row>
    <row r="2372" spans="25:27" x14ac:dyDescent="0.2">
      <c r="Y2372" s="28"/>
      <c r="Z2372" s="28"/>
      <c r="AA2372" s="28"/>
    </row>
    <row r="2373" spans="25:27" x14ac:dyDescent="0.2">
      <c r="Y2373" s="28"/>
      <c r="Z2373" s="28"/>
      <c r="AA2373" s="28"/>
    </row>
    <row r="2374" spans="25:27" x14ac:dyDescent="0.2">
      <c r="Y2374" s="28"/>
      <c r="Z2374" s="28"/>
      <c r="AA2374" s="28"/>
    </row>
    <row r="2375" spans="25:27" x14ac:dyDescent="0.2">
      <c r="Y2375" s="28"/>
      <c r="Z2375" s="28"/>
      <c r="AA2375" s="28"/>
    </row>
    <row r="2376" spans="25:27" x14ac:dyDescent="0.2">
      <c r="Y2376" s="28"/>
      <c r="Z2376" s="28"/>
      <c r="AA2376" s="28"/>
    </row>
    <row r="2377" spans="25:27" x14ac:dyDescent="0.2">
      <c r="Y2377" s="28"/>
      <c r="Z2377" s="28"/>
      <c r="AA2377" s="28"/>
    </row>
    <row r="2378" spans="25:27" x14ac:dyDescent="0.2">
      <c r="Y2378" s="28"/>
      <c r="Z2378" s="28"/>
      <c r="AA2378" s="28"/>
    </row>
    <row r="2379" spans="25:27" x14ac:dyDescent="0.2">
      <c r="Y2379" s="28"/>
      <c r="Z2379" s="28"/>
      <c r="AA2379" s="28"/>
    </row>
    <row r="2380" spans="25:27" x14ac:dyDescent="0.2">
      <c r="Y2380" s="28"/>
      <c r="Z2380" s="28"/>
      <c r="AA2380" s="28"/>
    </row>
    <row r="2381" spans="25:27" x14ac:dyDescent="0.2">
      <c r="Y2381" s="28"/>
      <c r="Z2381" s="28"/>
      <c r="AA2381" s="28"/>
    </row>
    <row r="2382" spans="25:27" x14ac:dyDescent="0.2">
      <c r="Y2382" s="28"/>
      <c r="Z2382" s="28"/>
      <c r="AA2382" s="28"/>
    </row>
    <row r="2383" spans="25:27" x14ac:dyDescent="0.2">
      <c r="Y2383" s="28"/>
      <c r="Z2383" s="28"/>
      <c r="AA2383" s="28"/>
    </row>
    <row r="2384" spans="25:27" x14ac:dyDescent="0.2">
      <c r="Y2384" s="28"/>
      <c r="Z2384" s="28"/>
      <c r="AA2384" s="28"/>
    </row>
    <row r="2385" spans="25:27" x14ac:dyDescent="0.2">
      <c r="Y2385" s="28"/>
      <c r="Z2385" s="28"/>
      <c r="AA2385" s="28"/>
    </row>
    <row r="2386" spans="25:27" x14ac:dyDescent="0.2">
      <c r="Y2386" s="28"/>
      <c r="Z2386" s="28"/>
      <c r="AA2386" s="28"/>
    </row>
    <row r="2387" spans="25:27" x14ac:dyDescent="0.2">
      <c r="Y2387" s="28"/>
      <c r="Z2387" s="28"/>
      <c r="AA2387" s="28"/>
    </row>
    <row r="2388" spans="25:27" x14ac:dyDescent="0.2">
      <c r="Y2388" s="28"/>
      <c r="Z2388" s="28"/>
      <c r="AA2388" s="28"/>
    </row>
    <row r="2389" spans="25:27" x14ac:dyDescent="0.2">
      <c r="Y2389" s="28"/>
      <c r="Z2389" s="28"/>
      <c r="AA2389" s="28"/>
    </row>
    <row r="2390" spans="25:27" x14ac:dyDescent="0.2">
      <c r="Y2390" s="28"/>
      <c r="Z2390" s="28"/>
      <c r="AA2390" s="28"/>
    </row>
    <row r="2391" spans="25:27" x14ac:dyDescent="0.2">
      <c r="Y2391" s="28"/>
      <c r="Z2391" s="28"/>
      <c r="AA2391" s="28"/>
    </row>
    <row r="2392" spans="25:27" x14ac:dyDescent="0.2">
      <c r="Y2392" s="28"/>
      <c r="Z2392" s="28"/>
      <c r="AA2392" s="28"/>
    </row>
    <row r="2393" spans="25:27" x14ac:dyDescent="0.2">
      <c r="Y2393" s="28"/>
      <c r="Z2393" s="28"/>
      <c r="AA2393" s="28"/>
    </row>
    <row r="2394" spans="25:27" x14ac:dyDescent="0.2">
      <c r="Y2394" s="28"/>
      <c r="Z2394" s="28"/>
      <c r="AA2394" s="28"/>
    </row>
    <row r="2395" spans="25:27" x14ac:dyDescent="0.2">
      <c r="Y2395" s="28"/>
      <c r="Z2395" s="28"/>
      <c r="AA2395" s="28"/>
    </row>
    <row r="2396" spans="25:27" x14ac:dyDescent="0.2">
      <c r="Y2396" s="28"/>
      <c r="Z2396" s="28"/>
      <c r="AA2396" s="28"/>
    </row>
    <row r="2397" spans="25:27" x14ac:dyDescent="0.2">
      <c r="Y2397" s="28"/>
      <c r="Z2397" s="28"/>
      <c r="AA2397" s="28"/>
    </row>
    <row r="2398" spans="25:27" x14ac:dyDescent="0.2">
      <c r="Y2398" s="28"/>
      <c r="Z2398" s="28"/>
      <c r="AA2398" s="28"/>
    </row>
    <row r="2399" spans="25:27" x14ac:dyDescent="0.2">
      <c r="Y2399" s="28"/>
      <c r="Z2399" s="28"/>
      <c r="AA2399" s="28"/>
    </row>
    <row r="2400" spans="25:27" x14ac:dyDescent="0.2">
      <c r="Y2400" s="28"/>
      <c r="Z2400" s="28"/>
      <c r="AA2400" s="28"/>
    </row>
    <row r="2401" spans="25:27" x14ac:dyDescent="0.2">
      <c r="Y2401" s="28"/>
      <c r="Z2401" s="28"/>
      <c r="AA2401" s="28"/>
    </row>
    <row r="2402" spans="25:27" x14ac:dyDescent="0.2">
      <c r="Y2402" s="28"/>
      <c r="Z2402" s="28"/>
      <c r="AA2402" s="28"/>
    </row>
    <row r="2403" spans="25:27" x14ac:dyDescent="0.2">
      <c r="Y2403" s="28"/>
      <c r="Z2403" s="28"/>
      <c r="AA2403" s="28"/>
    </row>
    <row r="2404" spans="25:27" x14ac:dyDescent="0.2">
      <c r="Y2404" s="28"/>
      <c r="Z2404" s="28"/>
      <c r="AA2404" s="28"/>
    </row>
    <row r="2405" spans="25:27" x14ac:dyDescent="0.2">
      <c r="Y2405" s="28"/>
      <c r="Z2405" s="28"/>
      <c r="AA2405" s="28"/>
    </row>
    <row r="2406" spans="25:27" x14ac:dyDescent="0.2">
      <c r="Y2406" s="28"/>
      <c r="Z2406" s="28"/>
      <c r="AA2406" s="28"/>
    </row>
    <row r="2407" spans="25:27" x14ac:dyDescent="0.2">
      <c r="Y2407" s="28"/>
      <c r="Z2407" s="28"/>
      <c r="AA2407" s="28"/>
    </row>
    <row r="2408" spans="25:27" x14ac:dyDescent="0.2">
      <c r="Y2408" s="28"/>
      <c r="Z2408" s="28"/>
      <c r="AA2408" s="28"/>
    </row>
    <row r="2409" spans="25:27" x14ac:dyDescent="0.2">
      <c r="Y2409" s="28"/>
      <c r="Z2409" s="28"/>
      <c r="AA2409" s="28"/>
    </row>
    <row r="2410" spans="25:27" x14ac:dyDescent="0.2">
      <c r="Y2410" s="28"/>
      <c r="Z2410" s="28"/>
      <c r="AA2410" s="28"/>
    </row>
    <row r="2411" spans="25:27" x14ac:dyDescent="0.2">
      <c r="Y2411" s="28"/>
      <c r="Z2411" s="28"/>
      <c r="AA2411" s="28"/>
    </row>
    <row r="2412" spans="25:27" x14ac:dyDescent="0.2">
      <c r="Y2412" s="28"/>
      <c r="Z2412" s="28"/>
      <c r="AA2412" s="28"/>
    </row>
    <row r="2413" spans="25:27" x14ac:dyDescent="0.2">
      <c r="Y2413" s="28"/>
      <c r="Z2413" s="28"/>
      <c r="AA2413" s="28"/>
    </row>
    <row r="2414" spans="25:27" x14ac:dyDescent="0.2">
      <c r="Y2414" s="28"/>
      <c r="Z2414" s="28"/>
      <c r="AA2414" s="28"/>
    </row>
    <row r="2415" spans="25:27" x14ac:dyDescent="0.2">
      <c r="Y2415" s="28"/>
      <c r="Z2415" s="28"/>
      <c r="AA2415" s="28"/>
    </row>
    <row r="2416" spans="25:27" x14ac:dyDescent="0.2">
      <c r="Y2416" s="28"/>
      <c r="Z2416" s="28"/>
      <c r="AA2416" s="28"/>
    </row>
    <row r="2417" spans="25:27" x14ac:dyDescent="0.2">
      <c r="Y2417" s="28"/>
      <c r="Z2417" s="28"/>
      <c r="AA2417" s="28"/>
    </row>
    <row r="2418" spans="25:27" x14ac:dyDescent="0.2">
      <c r="Y2418" s="28"/>
      <c r="Z2418" s="28"/>
      <c r="AA2418" s="28"/>
    </row>
    <row r="2419" spans="25:27" x14ac:dyDescent="0.2">
      <c r="Y2419" s="28"/>
      <c r="Z2419" s="28"/>
      <c r="AA2419" s="28"/>
    </row>
    <row r="2420" spans="25:27" x14ac:dyDescent="0.2">
      <c r="Y2420" s="28"/>
      <c r="Z2420" s="28"/>
      <c r="AA2420" s="28"/>
    </row>
    <row r="2421" spans="25:27" x14ac:dyDescent="0.2">
      <c r="Y2421" s="28"/>
      <c r="Z2421" s="28"/>
      <c r="AA2421" s="28"/>
    </row>
    <row r="2422" spans="25:27" x14ac:dyDescent="0.2">
      <c r="Y2422" s="28"/>
      <c r="Z2422" s="28"/>
      <c r="AA2422" s="28"/>
    </row>
    <row r="2423" spans="25:27" x14ac:dyDescent="0.2">
      <c r="Y2423" s="28"/>
      <c r="Z2423" s="28"/>
      <c r="AA2423" s="28"/>
    </row>
    <row r="2424" spans="25:27" x14ac:dyDescent="0.2">
      <c r="Y2424" s="28"/>
      <c r="Z2424" s="28"/>
      <c r="AA2424" s="28"/>
    </row>
    <row r="2425" spans="25:27" x14ac:dyDescent="0.2">
      <c r="Y2425" s="28"/>
      <c r="Z2425" s="28"/>
      <c r="AA2425" s="28"/>
    </row>
    <row r="2426" spans="25:27" x14ac:dyDescent="0.2">
      <c r="Y2426" s="28"/>
      <c r="Z2426" s="28"/>
      <c r="AA2426" s="28"/>
    </row>
    <row r="2427" spans="25:27" x14ac:dyDescent="0.2">
      <c r="Y2427" s="28"/>
      <c r="Z2427" s="28"/>
      <c r="AA2427" s="28"/>
    </row>
    <row r="2428" spans="25:27" x14ac:dyDescent="0.2">
      <c r="Y2428" s="28"/>
      <c r="Z2428" s="28"/>
      <c r="AA2428" s="28"/>
    </row>
    <row r="2429" spans="25:27" x14ac:dyDescent="0.2">
      <c r="Y2429" s="28"/>
      <c r="Z2429" s="28"/>
      <c r="AA2429" s="28"/>
    </row>
    <row r="2430" spans="25:27" x14ac:dyDescent="0.2">
      <c r="Y2430" s="28"/>
      <c r="Z2430" s="28"/>
      <c r="AA2430" s="28"/>
    </row>
    <row r="2431" spans="25:27" x14ac:dyDescent="0.2">
      <c r="Y2431" s="28"/>
      <c r="Z2431" s="28"/>
      <c r="AA2431" s="28"/>
    </row>
    <row r="2432" spans="25:27" x14ac:dyDescent="0.2">
      <c r="Y2432" s="28"/>
      <c r="Z2432" s="28"/>
      <c r="AA2432" s="28"/>
    </row>
    <row r="2433" spans="25:27" x14ac:dyDescent="0.2">
      <c r="Y2433" s="28"/>
      <c r="Z2433" s="28"/>
      <c r="AA2433" s="28"/>
    </row>
    <row r="2434" spans="25:27" x14ac:dyDescent="0.2">
      <c r="Y2434" s="28"/>
      <c r="Z2434" s="28"/>
      <c r="AA2434" s="28"/>
    </row>
    <row r="2435" spans="25:27" x14ac:dyDescent="0.2">
      <c r="Y2435" s="28"/>
      <c r="Z2435" s="28"/>
      <c r="AA2435" s="28"/>
    </row>
    <row r="2436" spans="25:27" x14ac:dyDescent="0.2">
      <c r="Y2436" s="28"/>
      <c r="Z2436" s="28"/>
      <c r="AA2436" s="28"/>
    </row>
    <row r="2437" spans="25:27" x14ac:dyDescent="0.2">
      <c r="Y2437" s="28"/>
      <c r="Z2437" s="28"/>
      <c r="AA2437" s="28"/>
    </row>
    <row r="2438" spans="25:27" x14ac:dyDescent="0.2">
      <c r="Y2438" s="28"/>
      <c r="Z2438" s="28"/>
      <c r="AA2438" s="28"/>
    </row>
    <row r="2439" spans="25:27" x14ac:dyDescent="0.2">
      <c r="Y2439" s="28"/>
      <c r="Z2439" s="28"/>
      <c r="AA2439" s="28"/>
    </row>
    <row r="2440" spans="25:27" x14ac:dyDescent="0.2">
      <c r="Y2440" s="28"/>
      <c r="Z2440" s="28"/>
      <c r="AA2440" s="28"/>
    </row>
    <row r="2441" spans="25:27" x14ac:dyDescent="0.2">
      <c r="Y2441" s="28"/>
      <c r="Z2441" s="28"/>
      <c r="AA2441" s="28"/>
    </row>
    <row r="2442" spans="25:27" x14ac:dyDescent="0.2">
      <c r="Y2442" s="28"/>
      <c r="Z2442" s="28"/>
      <c r="AA2442" s="28"/>
    </row>
    <row r="2443" spans="25:27" x14ac:dyDescent="0.2">
      <c r="Y2443" s="28"/>
      <c r="Z2443" s="28"/>
      <c r="AA2443" s="28"/>
    </row>
    <row r="2444" spans="25:27" x14ac:dyDescent="0.2">
      <c r="Y2444" s="28"/>
      <c r="Z2444" s="28"/>
      <c r="AA2444" s="28"/>
    </row>
    <row r="2445" spans="25:27" x14ac:dyDescent="0.2">
      <c r="Y2445" s="28"/>
      <c r="Z2445" s="28"/>
      <c r="AA2445" s="28"/>
    </row>
    <row r="2446" spans="25:27" x14ac:dyDescent="0.2">
      <c r="Y2446" s="28"/>
      <c r="Z2446" s="28"/>
      <c r="AA2446" s="28"/>
    </row>
    <row r="2447" spans="25:27" x14ac:dyDescent="0.2">
      <c r="Y2447" s="28"/>
      <c r="Z2447" s="28"/>
      <c r="AA2447" s="28"/>
    </row>
    <row r="2448" spans="25:27" x14ac:dyDescent="0.2">
      <c r="Y2448" s="28"/>
      <c r="Z2448" s="28"/>
      <c r="AA2448" s="28"/>
    </row>
    <row r="2449" spans="25:27" x14ac:dyDescent="0.2">
      <c r="Y2449" s="28"/>
      <c r="Z2449" s="28"/>
      <c r="AA2449" s="28"/>
    </row>
    <row r="2450" spans="25:27" x14ac:dyDescent="0.2">
      <c r="Y2450" s="28"/>
      <c r="Z2450" s="28"/>
      <c r="AA2450" s="28"/>
    </row>
    <row r="2451" spans="25:27" x14ac:dyDescent="0.2">
      <c r="Y2451" s="28"/>
      <c r="Z2451" s="28"/>
      <c r="AA2451" s="28"/>
    </row>
    <row r="2452" spans="25:27" x14ac:dyDescent="0.2">
      <c r="Y2452" s="28"/>
      <c r="Z2452" s="28"/>
      <c r="AA2452" s="28"/>
    </row>
    <row r="2453" spans="25:27" x14ac:dyDescent="0.2">
      <c r="Y2453" s="28"/>
      <c r="Z2453" s="28"/>
      <c r="AA2453" s="28"/>
    </row>
    <row r="2454" spans="25:27" x14ac:dyDescent="0.2">
      <c r="Y2454" s="28"/>
      <c r="Z2454" s="28"/>
      <c r="AA2454" s="28"/>
    </row>
    <row r="2455" spans="25:27" x14ac:dyDescent="0.2">
      <c r="Y2455" s="28"/>
      <c r="Z2455" s="28"/>
      <c r="AA2455" s="28"/>
    </row>
    <row r="2456" spans="25:27" x14ac:dyDescent="0.2">
      <c r="Y2456" s="28"/>
      <c r="Z2456" s="28"/>
      <c r="AA2456" s="28"/>
    </row>
    <row r="2457" spans="25:27" x14ac:dyDescent="0.2">
      <c r="Y2457" s="28"/>
      <c r="Z2457" s="28"/>
      <c r="AA2457" s="28"/>
    </row>
    <row r="2458" spans="25:27" x14ac:dyDescent="0.2">
      <c r="Y2458" s="28"/>
      <c r="Z2458" s="28"/>
      <c r="AA2458" s="28"/>
    </row>
    <row r="2459" spans="25:27" x14ac:dyDescent="0.2">
      <c r="Y2459" s="28"/>
      <c r="Z2459" s="28"/>
      <c r="AA2459" s="28"/>
    </row>
    <row r="2460" spans="25:27" x14ac:dyDescent="0.2">
      <c r="Y2460" s="28"/>
      <c r="Z2460" s="28"/>
      <c r="AA2460" s="28"/>
    </row>
    <row r="2461" spans="25:27" x14ac:dyDescent="0.2">
      <c r="Y2461" s="28"/>
      <c r="Z2461" s="28"/>
      <c r="AA2461" s="28"/>
    </row>
    <row r="2462" spans="25:27" x14ac:dyDescent="0.2">
      <c r="Y2462" s="28"/>
      <c r="Z2462" s="28"/>
      <c r="AA2462" s="28"/>
    </row>
    <row r="2463" spans="25:27" x14ac:dyDescent="0.2">
      <c r="Y2463" s="28"/>
      <c r="Z2463" s="28"/>
      <c r="AA2463" s="28"/>
    </row>
    <row r="2464" spans="25:27" x14ac:dyDescent="0.2">
      <c r="Y2464" s="28"/>
      <c r="Z2464" s="28"/>
      <c r="AA2464" s="28"/>
    </row>
    <row r="2465" spans="25:27" x14ac:dyDescent="0.2">
      <c r="Y2465" s="28"/>
      <c r="Z2465" s="28"/>
      <c r="AA2465" s="28"/>
    </row>
    <row r="2466" spans="25:27" x14ac:dyDescent="0.2">
      <c r="Y2466" s="28"/>
      <c r="Z2466" s="28"/>
      <c r="AA2466" s="28"/>
    </row>
    <row r="2467" spans="25:27" x14ac:dyDescent="0.2">
      <c r="Y2467" s="28"/>
      <c r="Z2467" s="28"/>
      <c r="AA2467" s="28"/>
    </row>
    <row r="2468" spans="25:27" x14ac:dyDescent="0.2">
      <c r="Y2468" s="28"/>
      <c r="Z2468" s="28"/>
      <c r="AA2468" s="28"/>
    </row>
    <row r="2469" spans="25:27" x14ac:dyDescent="0.2">
      <c r="Y2469" s="28"/>
      <c r="Z2469" s="28"/>
      <c r="AA2469" s="28"/>
    </row>
    <row r="2470" spans="25:27" x14ac:dyDescent="0.2">
      <c r="Y2470" s="28"/>
      <c r="Z2470" s="28"/>
      <c r="AA2470" s="28"/>
    </row>
    <row r="2471" spans="25:27" x14ac:dyDescent="0.2">
      <c r="Y2471" s="28"/>
      <c r="Z2471" s="28"/>
      <c r="AA2471" s="28"/>
    </row>
    <row r="2472" spans="25:27" x14ac:dyDescent="0.2">
      <c r="Y2472" s="28"/>
      <c r="Z2472" s="28"/>
      <c r="AA2472" s="28"/>
    </row>
    <row r="2473" spans="25:27" x14ac:dyDescent="0.2">
      <c r="Y2473" s="28"/>
      <c r="Z2473" s="28"/>
      <c r="AA2473" s="28"/>
    </row>
    <row r="2474" spans="25:27" x14ac:dyDescent="0.2">
      <c r="Y2474" s="28"/>
      <c r="Z2474" s="28"/>
      <c r="AA2474" s="28"/>
    </row>
    <row r="2475" spans="25:27" x14ac:dyDescent="0.2">
      <c r="Y2475" s="28"/>
      <c r="Z2475" s="28"/>
      <c r="AA2475" s="28"/>
    </row>
    <row r="2476" spans="25:27" x14ac:dyDescent="0.2">
      <c r="Y2476" s="28"/>
      <c r="Z2476" s="28"/>
      <c r="AA2476" s="28"/>
    </row>
    <row r="2477" spans="25:27" x14ac:dyDescent="0.2">
      <c r="Y2477" s="28"/>
      <c r="Z2477" s="28"/>
      <c r="AA2477" s="28"/>
    </row>
    <row r="2478" spans="25:27" x14ac:dyDescent="0.2">
      <c r="Y2478" s="28"/>
      <c r="Z2478" s="28"/>
      <c r="AA2478" s="28"/>
    </row>
    <row r="2479" spans="25:27" x14ac:dyDescent="0.2">
      <c r="Y2479" s="28"/>
      <c r="Z2479" s="28"/>
      <c r="AA2479" s="28"/>
    </row>
    <row r="2480" spans="25:27" x14ac:dyDescent="0.2">
      <c r="Y2480" s="28"/>
      <c r="Z2480" s="28"/>
      <c r="AA2480" s="28"/>
    </row>
    <row r="2481" spans="25:27" x14ac:dyDescent="0.2">
      <c r="Y2481" s="28"/>
      <c r="Z2481" s="28"/>
      <c r="AA2481" s="28"/>
    </row>
    <row r="2482" spans="25:27" x14ac:dyDescent="0.2">
      <c r="Y2482" s="28"/>
      <c r="Z2482" s="28"/>
      <c r="AA2482" s="28"/>
    </row>
    <row r="2483" spans="25:27" x14ac:dyDescent="0.2">
      <c r="Y2483" s="28"/>
      <c r="Z2483" s="28"/>
      <c r="AA2483" s="28"/>
    </row>
    <row r="2484" spans="25:27" x14ac:dyDescent="0.2">
      <c r="Y2484" s="28"/>
      <c r="Z2484" s="28"/>
      <c r="AA2484" s="28"/>
    </row>
    <row r="2485" spans="25:27" x14ac:dyDescent="0.2">
      <c r="Y2485" s="28"/>
      <c r="Z2485" s="28"/>
      <c r="AA2485" s="28"/>
    </row>
    <row r="2486" spans="25:27" x14ac:dyDescent="0.2">
      <c r="Y2486" s="28"/>
      <c r="Z2486" s="28"/>
      <c r="AA2486" s="28"/>
    </row>
    <row r="2487" spans="25:27" x14ac:dyDescent="0.2">
      <c r="Y2487" s="28"/>
      <c r="Z2487" s="28"/>
      <c r="AA2487" s="28"/>
    </row>
    <row r="2488" spans="25:27" x14ac:dyDescent="0.2">
      <c r="Y2488" s="28"/>
      <c r="Z2488" s="28"/>
      <c r="AA2488" s="28"/>
    </row>
    <row r="2489" spans="25:27" x14ac:dyDescent="0.2">
      <c r="Y2489" s="28"/>
      <c r="Z2489" s="28"/>
      <c r="AA2489" s="28"/>
    </row>
    <row r="2490" spans="25:27" x14ac:dyDescent="0.2">
      <c r="Y2490" s="28"/>
      <c r="Z2490" s="28"/>
      <c r="AA2490" s="28"/>
    </row>
    <row r="2491" spans="25:27" x14ac:dyDescent="0.2">
      <c r="Y2491" s="28"/>
      <c r="Z2491" s="28"/>
      <c r="AA2491" s="28"/>
    </row>
    <row r="2492" spans="25:27" x14ac:dyDescent="0.2">
      <c r="Y2492" s="28"/>
      <c r="Z2492" s="28"/>
      <c r="AA2492" s="28"/>
    </row>
    <row r="2493" spans="25:27" x14ac:dyDescent="0.2">
      <c r="Y2493" s="28"/>
      <c r="Z2493" s="28"/>
      <c r="AA2493" s="28"/>
    </row>
    <row r="2494" spans="25:27" x14ac:dyDescent="0.2">
      <c r="Y2494" s="28"/>
      <c r="Z2494" s="28"/>
      <c r="AA2494" s="28"/>
    </row>
    <row r="2495" spans="25:27" x14ac:dyDescent="0.2">
      <c r="Y2495" s="28"/>
      <c r="Z2495" s="28"/>
      <c r="AA2495" s="28"/>
    </row>
    <row r="2496" spans="25:27" x14ac:dyDescent="0.2">
      <c r="Y2496" s="28"/>
      <c r="Z2496" s="28"/>
      <c r="AA2496" s="28"/>
    </row>
    <row r="2497" spans="25:27" x14ac:dyDescent="0.2">
      <c r="Y2497" s="28"/>
      <c r="Z2497" s="28"/>
      <c r="AA2497" s="28"/>
    </row>
    <row r="2498" spans="25:27" x14ac:dyDescent="0.2">
      <c r="Y2498" s="28"/>
      <c r="Z2498" s="28"/>
      <c r="AA2498" s="28"/>
    </row>
    <row r="2499" spans="25:27" x14ac:dyDescent="0.2">
      <c r="Y2499" s="28"/>
      <c r="Z2499" s="28"/>
      <c r="AA2499" s="28"/>
    </row>
    <row r="2500" spans="25:27" x14ac:dyDescent="0.2">
      <c r="Y2500" s="28"/>
      <c r="Z2500" s="28"/>
      <c r="AA2500" s="28"/>
    </row>
    <row r="2501" spans="25:27" x14ac:dyDescent="0.2">
      <c r="Y2501" s="28"/>
      <c r="Z2501" s="28"/>
      <c r="AA2501" s="28"/>
    </row>
    <row r="2502" spans="25:27" x14ac:dyDescent="0.2">
      <c r="Y2502" s="28"/>
      <c r="Z2502" s="28"/>
      <c r="AA2502" s="28"/>
    </row>
    <row r="2503" spans="25:27" x14ac:dyDescent="0.2">
      <c r="Y2503" s="28"/>
      <c r="Z2503" s="28"/>
      <c r="AA2503" s="28"/>
    </row>
    <row r="2504" spans="25:27" x14ac:dyDescent="0.2">
      <c r="Y2504" s="28"/>
      <c r="Z2504" s="28"/>
      <c r="AA2504" s="28"/>
    </row>
    <row r="2505" spans="25:27" x14ac:dyDescent="0.2">
      <c r="Y2505" s="28"/>
      <c r="Z2505" s="28"/>
      <c r="AA2505" s="28"/>
    </row>
    <row r="2506" spans="25:27" x14ac:dyDescent="0.2">
      <c r="Y2506" s="28"/>
      <c r="Z2506" s="28"/>
      <c r="AA2506" s="28"/>
    </row>
    <row r="2507" spans="25:27" x14ac:dyDescent="0.2">
      <c r="Y2507" s="28"/>
      <c r="Z2507" s="28"/>
      <c r="AA2507" s="28"/>
    </row>
    <row r="2508" spans="25:27" x14ac:dyDescent="0.2">
      <c r="Y2508" s="28"/>
      <c r="Z2508" s="28"/>
      <c r="AA2508" s="28"/>
    </row>
    <row r="2509" spans="25:27" x14ac:dyDescent="0.2">
      <c r="Y2509" s="28"/>
      <c r="Z2509" s="28"/>
      <c r="AA2509" s="28"/>
    </row>
    <row r="2510" spans="25:27" x14ac:dyDescent="0.2">
      <c r="Y2510" s="28"/>
      <c r="Z2510" s="28"/>
      <c r="AA2510" s="28"/>
    </row>
    <row r="2511" spans="25:27" x14ac:dyDescent="0.2">
      <c r="Y2511" s="28"/>
      <c r="Z2511" s="28"/>
      <c r="AA2511" s="28"/>
    </row>
    <row r="2512" spans="25:27" x14ac:dyDescent="0.2">
      <c r="Y2512" s="28"/>
      <c r="Z2512" s="28"/>
      <c r="AA2512" s="28"/>
    </row>
    <row r="2513" spans="25:27" x14ac:dyDescent="0.2">
      <c r="Y2513" s="28"/>
      <c r="Z2513" s="28"/>
      <c r="AA2513" s="28"/>
    </row>
    <row r="2514" spans="25:27" x14ac:dyDescent="0.2">
      <c r="Y2514" s="28"/>
      <c r="Z2514" s="28"/>
      <c r="AA2514" s="28"/>
    </row>
    <row r="2515" spans="25:27" x14ac:dyDescent="0.2">
      <c r="Y2515" s="28"/>
      <c r="Z2515" s="28"/>
      <c r="AA2515" s="28"/>
    </row>
    <row r="2516" spans="25:27" x14ac:dyDescent="0.2">
      <c r="Y2516" s="28"/>
      <c r="Z2516" s="28"/>
      <c r="AA2516" s="28"/>
    </row>
    <row r="2517" spans="25:27" x14ac:dyDescent="0.2">
      <c r="Y2517" s="28"/>
      <c r="Z2517" s="28"/>
      <c r="AA2517" s="28"/>
    </row>
    <row r="2518" spans="25:27" x14ac:dyDescent="0.2">
      <c r="Y2518" s="28"/>
      <c r="Z2518" s="28"/>
      <c r="AA2518" s="28"/>
    </row>
    <row r="2519" spans="25:27" x14ac:dyDescent="0.2">
      <c r="Y2519" s="28"/>
      <c r="Z2519" s="28"/>
      <c r="AA2519" s="28"/>
    </row>
    <row r="2520" spans="25:27" x14ac:dyDescent="0.2">
      <c r="Y2520" s="28"/>
      <c r="Z2520" s="28"/>
      <c r="AA2520" s="28"/>
    </row>
    <row r="2521" spans="25:27" x14ac:dyDescent="0.2">
      <c r="Y2521" s="28"/>
      <c r="Z2521" s="28"/>
      <c r="AA2521" s="28"/>
    </row>
    <row r="2522" spans="25:27" x14ac:dyDescent="0.2">
      <c r="Y2522" s="28"/>
      <c r="Z2522" s="28"/>
      <c r="AA2522" s="28"/>
    </row>
    <row r="2523" spans="25:27" x14ac:dyDescent="0.2">
      <c r="Y2523" s="28"/>
      <c r="Z2523" s="28"/>
      <c r="AA2523" s="28"/>
    </row>
    <row r="2524" spans="25:27" x14ac:dyDescent="0.2">
      <c r="Y2524" s="28"/>
      <c r="Z2524" s="28"/>
      <c r="AA2524" s="28"/>
    </row>
    <row r="2525" spans="25:27" x14ac:dyDescent="0.2">
      <c r="Y2525" s="28"/>
      <c r="Z2525" s="28"/>
      <c r="AA2525" s="28"/>
    </row>
    <row r="2526" spans="25:27" x14ac:dyDescent="0.2">
      <c r="Y2526" s="28"/>
      <c r="Z2526" s="28"/>
      <c r="AA2526" s="28"/>
    </row>
    <row r="2527" spans="25:27" x14ac:dyDescent="0.2">
      <c r="Y2527" s="28"/>
      <c r="Z2527" s="28"/>
      <c r="AA2527" s="28"/>
    </row>
    <row r="2528" spans="25:27" x14ac:dyDescent="0.2">
      <c r="Y2528" s="28"/>
      <c r="Z2528" s="28"/>
      <c r="AA2528" s="28"/>
    </row>
    <row r="2529" spans="25:27" x14ac:dyDescent="0.2">
      <c r="Y2529" s="28"/>
      <c r="Z2529" s="28"/>
      <c r="AA2529" s="28"/>
    </row>
    <row r="2530" spans="25:27" x14ac:dyDescent="0.2">
      <c r="Y2530" s="28"/>
      <c r="Z2530" s="28"/>
      <c r="AA2530" s="28"/>
    </row>
    <row r="2531" spans="25:27" x14ac:dyDescent="0.2">
      <c r="Y2531" s="28"/>
      <c r="Z2531" s="28"/>
      <c r="AA2531" s="28"/>
    </row>
    <row r="2532" spans="25:27" x14ac:dyDescent="0.2">
      <c r="Y2532" s="28"/>
      <c r="Z2532" s="28"/>
      <c r="AA2532" s="28"/>
    </row>
    <row r="2533" spans="25:27" x14ac:dyDescent="0.2">
      <c r="Y2533" s="28"/>
      <c r="Z2533" s="28"/>
      <c r="AA2533" s="28"/>
    </row>
    <row r="2534" spans="25:27" x14ac:dyDescent="0.2">
      <c r="Y2534" s="28"/>
      <c r="Z2534" s="28"/>
      <c r="AA2534" s="28"/>
    </row>
    <row r="2535" spans="25:27" x14ac:dyDescent="0.2">
      <c r="Y2535" s="28"/>
      <c r="Z2535" s="28"/>
      <c r="AA2535" s="28"/>
    </row>
    <row r="2536" spans="25:27" x14ac:dyDescent="0.2">
      <c r="Y2536" s="28"/>
      <c r="Z2536" s="28"/>
      <c r="AA2536" s="28"/>
    </row>
    <row r="2537" spans="25:27" x14ac:dyDescent="0.2">
      <c r="Y2537" s="28"/>
      <c r="Z2537" s="28"/>
      <c r="AA2537" s="28"/>
    </row>
    <row r="2538" spans="25:27" x14ac:dyDescent="0.2">
      <c r="Y2538" s="28"/>
      <c r="Z2538" s="28"/>
      <c r="AA2538" s="28"/>
    </row>
    <row r="2539" spans="25:27" x14ac:dyDescent="0.2">
      <c r="Y2539" s="28"/>
      <c r="Z2539" s="28"/>
      <c r="AA2539" s="28"/>
    </row>
    <row r="2540" spans="25:27" x14ac:dyDescent="0.2">
      <c r="Y2540" s="28"/>
      <c r="Z2540" s="28"/>
      <c r="AA2540" s="28"/>
    </row>
    <row r="2541" spans="25:27" x14ac:dyDescent="0.2">
      <c r="Y2541" s="28"/>
      <c r="Z2541" s="28"/>
      <c r="AA2541" s="28"/>
    </row>
    <row r="2542" spans="25:27" x14ac:dyDescent="0.2">
      <c r="Y2542" s="28"/>
      <c r="Z2542" s="28"/>
      <c r="AA2542" s="28"/>
    </row>
    <row r="2543" spans="25:27" x14ac:dyDescent="0.2">
      <c r="Y2543" s="28"/>
      <c r="Z2543" s="28"/>
      <c r="AA2543" s="28"/>
    </row>
    <row r="2544" spans="25:27" x14ac:dyDescent="0.2">
      <c r="Y2544" s="28"/>
      <c r="Z2544" s="28"/>
      <c r="AA2544" s="28"/>
    </row>
    <row r="2545" spans="25:27" x14ac:dyDescent="0.2">
      <c r="Y2545" s="28"/>
      <c r="Z2545" s="28"/>
      <c r="AA2545" s="28"/>
    </row>
    <row r="2546" spans="25:27" x14ac:dyDescent="0.2">
      <c r="Y2546" s="28"/>
      <c r="Z2546" s="28"/>
      <c r="AA2546" s="28"/>
    </row>
    <row r="2547" spans="25:27" x14ac:dyDescent="0.2">
      <c r="Y2547" s="28"/>
      <c r="Z2547" s="28"/>
      <c r="AA2547" s="28"/>
    </row>
    <row r="2548" spans="25:27" x14ac:dyDescent="0.2">
      <c r="Y2548" s="28"/>
      <c r="Z2548" s="28"/>
      <c r="AA2548" s="28"/>
    </row>
    <row r="2549" spans="25:27" x14ac:dyDescent="0.2">
      <c r="Y2549" s="28"/>
      <c r="Z2549" s="28"/>
      <c r="AA2549" s="28"/>
    </row>
    <row r="2550" spans="25:27" x14ac:dyDescent="0.2">
      <c r="Y2550" s="28"/>
      <c r="Z2550" s="28"/>
      <c r="AA2550" s="28"/>
    </row>
    <row r="2551" spans="25:27" x14ac:dyDescent="0.2">
      <c r="Y2551" s="28"/>
      <c r="Z2551" s="28"/>
      <c r="AA2551" s="28"/>
    </row>
    <row r="2552" spans="25:27" x14ac:dyDescent="0.2">
      <c r="Y2552" s="28"/>
      <c r="Z2552" s="28"/>
      <c r="AA2552" s="28"/>
    </row>
    <row r="2553" spans="25:27" x14ac:dyDescent="0.2">
      <c r="Y2553" s="28"/>
      <c r="Z2553" s="28"/>
      <c r="AA2553" s="28"/>
    </row>
    <row r="2554" spans="25:27" x14ac:dyDescent="0.2">
      <c r="Y2554" s="28"/>
      <c r="Z2554" s="28"/>
      <c r="AA2554" s="28"/>
    </row>
    <row r="2555" spans="25:27" x14ac:dyDescent="0.2">
      <c r="Y2555" s="28"/>
      <c r="Z2555" s="28"/>
      <c r="AA2555" s="28"/>
    </row>
    <row r="2556" spans="25:27" x14ac:dyDescent="0.2">
      <c r="Y2556" s="28"/>
      <c r="Z2556" s="28"/>
      <c r="AA2556" s="28"/>
    </row>
    <row r="2557" spans="25:27" x14ac:dyDescent="0.2">
      <c r="Y2557" s="28"/>
      <c r="Z2557" s="28"/>
      <c r="AA2557" s="28"/>
    </row>
    <row r="2558" spans="25:27" x14ac:dyDescent="0.2">
      <c r="Y2558" s="28"/>
      <c r="Z2558" s="28"/>
      <c r="AA2558" s="28"/>
    </row>
    <row r="2559" spans="25:27" x14ac:dyDescent="0.2">
      <c r="Y2559" s="28"/>
      <c r="Z2559" s="28"/>
      <c r="AA2559" s="28"/>
    </row>
    <row r="2560" spans="25:27" x14ac:dyDescent="0.2">
      <c r="Y2560" s="28"/>
      <c r="Z2560" s="28"/>
      <c r="AA2560" s="28"/>
    </row>
    <row r="2561" spans="25:27" x14ac:dyDescent="0.2">
      <c r="Y2561" s="28"/>
      <c r="Z2561" s="28"/>
      <c r="AA2561" s="28"/>
    </row>
    <row r="2562" spans="25:27" x14ac:dyDescent="0.2">
      <c r="Y2562" s="28"/>
      <c r="Z2562" s="28"/>
      <c r="AA2562" s="28"/>
    </row>
    <row r="2563" spans="25:27" x14ac:dyDescent="0.2">
      <c r="Y2563" s="28"/>
      <c r="Z2563" s="28"/>
      <c r="AA2563" s="28"/>
    </row>
    <row r="2564" spans="25:27" x14ac:dyDescent="0.2">
      <c r="Y2564" s="28"/>
      <c r="Z2564" s="28"/>
      <c r="AA2564" s="28"/>
    </row>
    <row r="2565" spans="25:27" x14ac:dyDescent="0.2">
      <c r="Y2565" s="28"/>
      <c r="Z2565" s="28"/>
      <c r="AA2565" s="28"/>
    </row>
    <row r="2566" spans="25:27" x14ac:dyDescent="0.2">
      <c r="Y2566" s="28"/>
      <c r="Z2566" s="28"/>
      <c r="AA2566" s="28"/>
    </row>
    <row r="2567" spans="25:27" x14ac:dyDescent="0.2">
      <c r="Y2567" s="28"/>
      <c r="Z2567" s="28"/>
      <c r="AA2567" s="28"/>
    </row>
    <row r="2568" spans="25:27" x14ac:dyDescent="0.2">
      <c r="Y2568" s="28"/>
      <c r="Z2568" s="28"/>
      <c r="AA2568" s="28"/>
    </row>
    <row r="2569" spans="25:27" x14ac:dyDescent="0.2">
      <c r="Y2569" s="28"/>
      <c r="Z2569" s="28"/>
      <c r="AA2569" s="28"/>
    </row>
    <row r="2570" spans="25:27" x14ac:dyDescent="0.2">
      <c r="Y2570" s="28"/>
      <c r="Z2570" s="28"/>
      <c r="AA2570" s="28"/>
    </row>
    <row r="2571" spans="25:27" x14ac:dyDescent="0.2">
      <c r="Y2571" s="28"/>
      <c r="Z2571" s="28"/>
      <c r="AA2571" s="28"/>
    </row>
    <row r="2572" spans="25:27" x14ac:dyDescent="0.2">
      <c r="Y2572" s="28"/>
      <c r="Z2572" s="28"/>
      <c r="AA2572" s="28"/>
    </row>
    <row r="2573" spans="25:27" x14ac:dyDescent="0.2">
      <c r="Y2573" s="28"/>
      <c r="Z2573" s="28"/>
      <c r="AA2573" s="28"/>
    </row>
    <row r="2574" spans="25:27" x14ac:dyDescent="0.2">
      <c r="Y2574" s="28"/>
      <c r="Z2574" s="28"/>
      <c r="AA2574" s="28"/>
    </row>
    <row r="2575" spans="25:27" x14ac:dyDescent="0.2">
      <c r="Y2575" s="28"/>
      <c r="Z2575" s="28"/>
      <c r="AA2575" s="28"/>
    </row>
    <row r="2576" spans="25:27" x14ac:dyDescent="0.2">
      <c r="Y2576" s="28"/>
      <c r="Z2576" s="28"/>
      <c r="AA2576" s="28"/>
    </row>
    <row r="2577" spans="25:27" x14ac:dyDescent="0.2">
      <c r="Y2577" s="28"/>
      <c r="Z2577" s="28"/>
      <c r="AA2577" s="28"/>
    </row>
    <row r="2578" spans="25:27" x14ac:dyDescent="0.2">
      <c r="Y2578" s="28"/>
      <c r="Z2578" s="28"/>
      <c r="AA2578" s="28"/>
    </row>
    <row r="2579" spans="25:27" x14ac:dyDescent="0.2">
      <c r="Y2579" s="28"/>
      <c r="Z2579" s="28"/>
      <c r="AA2579" s="28"/>
    </row>
    <row r="2580" spans="25:27" x14ac:dyDescent="0.2">
      <c r="Y2580" s="28"/>
      <c r="Z2580" s="28"/>
      <c r="AA2580" s="28"/>
    </row>
    <row r="2581" spans="25:27" x14ac:dyDescent="0.2">
      <c r="Y2581" s="28"/>
      <c r="Z2581" s="28"/>
      <c r="AA2581" s="28"/>
    </row>
    <row r="2582" spans="25:27" x14ac:dyDescent="0.2">
      <c r="Y2582" s="28"/>
      <c r="Z2582" s="28"/>
      <c r="AA2582" s="28"/>
    </row>
    <row r="2583" spans="25:27" x14ac:dyDescent="0.2">
      <c r="Y2583" s="28"/>
      <c r="Z2583" s="28"/>
      <c r="AA2583" s="28"/>
    </row>
    <row r="2584" spans="25:27" x14ac:dyDescent="0.2">
      <c r="Y2584" s="28"/>
      <c r="Z2584" s="28"/>
      <c r="AA2584" s="28"/>
    </row>
    <row r="2585" spans="25:27" x14ac:dyDescent="0.2">
      <c r="Y2585" s="28"/>
      <c r="Z2585" s="28"/>
      <c r="AA2585" s="28"/>
    </row>
    <row r="2586" spans="25:27" x14ac:dyDescent="0.2">
      <c r="Y2586" s="28"/>
      <c r="Z2586" s="28"/>
      <c r="AA2586" s="28"/>
    </row>
    <row r="2587" spans="25:27" x14ac:dyDescent="0.2">
      <c r="Y2587" s="28"/>
      <c r="Z2587" s="28"/>
      <c r="AA2587" s="28"/>
    </row>
    <row r="2588" spans="25:27" x14ac:dyDescent="0.2">
      <c r="Y2588" s="28"/>
      <c r="Z2588" s="28"/>
      <c r="AA2588" s="28"/>
    </row>
    <row r="2589" spans="25:27" x14ac:dyDescent="0.2">
      <c r="Y2589" s="28"/>
      <c r="Z2589" s="28"/>
      <c r="AA2589" s="28"/>
    </row>
    <row r="2590" spans="25:27" x14ac:dyDescent="0.2">
      <c r="Y2590" s="28"/>
      <c r="Z2590" s="28"/>
      <c r="AA2590" s="28"/>
    </row>
    <row r="2591" spans="25:27" x14ac:dyDescent="0.2">
      <c r="Y2591" s="28"/>
      <c r="Z2591" s="28"/>
      <c r="AA2591" s="28"/>
    </row>
    <row r="2592" spans="25:27" x14ac:dyDescent="0.2">
      <c r="Y2592" s="28"/>
      <c r="Z2592" s="28"/>
      <c r="AA2592" s="28"/>
    </row>
    <row r="2593" spans="25:27" x14ac:dyDescent="0.2">
      <c r="Y2593" s="28"/>
      <c r="Z2593" s="28"/>
      <c r="AA2593" s="28"/>
    </row>
    <row r="2594" spans="25:27" x14ac:dyDescent="0.2">
      <c r="Y2594" s="28"/>
      <c r="Z2594" s="28"/>
      <c r="AA2594" s="28"/>
    </row>
    <row r="2595" spans="25:27" x14ac:dyDescent="0.2">
      <c r="Y2595" s="28"/>
      <c r="Z2595" s="28"/>
      <c r="AA2595" s="28"/>
    </row>
    <row r="2596" spans="25:27" x14ac:dyDescent="0.2">
      <c r="Y2596" s="28"/>
      <c r="Z2596" s="28"/>
      <c r="AA2596" s="28"/>
    </row>
    <row r="2597" spans="25:27" x14ac:dyDescent="0.2">
      <c r="Y2597" s="28"/>
      <c r="Z2597" s="28"/>
      <c r="AA2597" s="28"/>
    </row>
    <row r="2598" spans="25:27" x14ac:dyDescent="0.2">
      <c r="Y2598" s="28"/>
      <c r="Z2598" s="28"/>
      <c r="AA2598" s="28"/>
    </row>
    <row r="2599" spans="25:27" x14ac:dyDescent="0.2">
      <c r="Y2599" s="28"/>
      <c r="Z2599" s="28"/>
      <c r="AA2599" s="28"/>
    </row>
    <row r="2600" spans="25:27" x14ac:dyDescent="0.2">
      <c r="Y2600" s="28"/>
      <c r="Z2600" s="28"/>
      <c r="AA2600" s="28"/>
    </row>
    <row r="2601" spans="25:27" x14ac:dyDescent="0.2">
      <c r="Y2601" s="28"/>
      <c r="Z2601" s="28"/>
      <c r="AA2601" s="28"/>
    </row>
    <row r="2602" spans="25:27" x14ac:dyDescent="0.2">
      <c r="Y2602" s="28"/>
      <c r="Z2602" s="28"/>
      <c r="AA2602" s="28"/>
    </row>
    <row r="2603" spans="25:27" x14ac:dyDescent="0.2">
      <c r="Y2603" s="28"/>
      <c r="Z2603" s="28"/>
      <c r="AA2603" s="28"/>
    </row>
    <row r="2604" spans="25:27" x14ac:dyDescent="0.2">
      <c r="Y2604" s="28"/>
      <c r="Z2604" s="28"/>
      <c r="AA2604" s="28"/>
    </row>
    <row r="2605" spans="25:27" x14ac:dyDescent="0.2">
      <c r="Y2605" s="28"/>
      <c r="Z2605" s="28"/>
      <c r="AA2605" s="28"/>
    </row>
    <row r="2606" spans="25:27" x14ac:dyDescent="0.2">
      <c r="Y2606" s="28"/>
      <c r="Z2606" s="28"/>
      <c r="AA2606" s="28"/>
    </row>
    <row r="2607" spans="25:27" x14ac:dyDescent="0.2">
      <c r="Y2607" s="28"/>
      <c r="Z2607" s="28"/>
      <c r="AA2607" s="28"/>
    </row>
    <row r="2608" spans="25:27" x14ac:dyDescent="0.2">
      <c r="Y2608" s="28"/>
      <c r="Z2608" s="28"/>
      <c r="AA2608" s="28"/>
    </row>
    <row r="2609" spans="25:27" x14ac:dyDescent="0.2">
      <c r="Y2609" s="28"/>
      <c r="Z2609" s="28"/>
      <c r="AA2609" s="28"/>
    </row>
    <row r="2610" spans="25:27" x14ac:dyDescent="0.2">
      <c r="Y2610" s="28"/>
      <c r="Z2610" s="28"/>
      <c r="AA2610" s="28"/>
    </row>
    <row r="2611" spans="25:27" x14ac:dyDescent="0.2">
      <c r="Y2611" s="28"/>
      <c r="Z2611" s="28"/>
      <c r="AA2611" s="28"/>
    </row>
    <row r="2612" spans="25:27" x14ac:dyDescent="0.2">
      <c r="Y2612" s="28"/>
      <c r="Z2612" s="28"/>
      <c r="AA2612" s="28"/>
    </row>
    <row r="2613" spans="25:27" x14ac:dyDescent="0.2">
      <c r="Y2613" s="28"/>
      <c r="Z2613" s="28"/>
      <c r="AA2613" s="28"/>
    </row>
    <row r="2614" spans="25:27" x14ac:dyDescent="0.2">
      <c r="Y2614" s="28"/>
      <c r="Z2614" s="28"/>
      <c r="AA2614" s="28"/>
    </row>
    <row r="2615" spans="25:27" x14ac:dyDescent="0.2">
      <c r="Y2615" s="28"/>
      <c r="Z2615" s="28"/>
      <c r="AA2615" s="28"/>
    </row>
    <row r="2616" spans="25:27" x14ac:dyDescent="0.2">
      <c r="Y2616" s="28"/>
      <c r="Z2616" s="28"/>
      <c r="AA2616" s="28"/>
    </row>
    <row r="2617" spans="25:27" x14ac:dyDescent="0.2">
      <c r="Y2617" s="28"/>
      <c r="Z2617" s="28"/>
      <c r="AA2617" s="28"/>
    </row>
    <row r="2618" spans="25:27" x14ac:dyDescent="0.2">
      <c r="Y2618" s="28"/>
      <c r="Z2618" s="28"/>
      <c r="AA2618" s="28"/>
    </row>
    <row r="2619" spans="25:27" x14ac:dyDescent="0.2">
      <c r="Y2619" s="28"/>
      <c r="Z2619" s="28"/>
      <c r="AA2619" s="28"/>
    </row>
    <row r="2620" spans="25:27" x14ac:dyDescent="0.2">
      <c r="Y2620" s="28"/>
      <c r="Z2620" s="28"/>
      <c r="AA2620" s="28"/>
    </row>
    <row r="2621" spans="25:27" x14ac:dyDescent="0.2">
      <c r="Y2621" s="28"/>
      <c r="Z2621" s="28"/>
      <c r="AA2621" s="28"/>
    </row>
    <row r="2622" spans="25:27" x14ac:dyDescent="0.2">
      <c r="Y2622" s="28"/>
      <c r="Z2622" s="28"/>
      <c r="AA2622" s="28"/>
    </row>
    <row r="2623" spans="25:27" x14ac:dyDescent="0.2">
      <c r="Y2623" s="28"/>
      <c r="Z2623" s="28"/>
      <c r="AA2623" s="28"/>
    </row>
    <row r="2624" spans="25:27" x14ac:dyDescent="0.2">
      <c r="Y2624" s="28"/>
      <c r="Z2624" s="28"/>
      <c r="AA2624" s="28"/>
    </row>
    <row r="2625" spans="6:90" x14ac:dyDescent="0.2">
      <c r="Y2625" s="28"/>
      <c r="Z2625" s="28"/>
      <c r="AA2625" s="28"/>
    </row>
    <row r="2626" spans="6:90" x14ac:dyDescent="0.2">
      <c r="Y2626" s="28"/>
      <c r="Z2626" s="28"/>
      <c r="AA2626" s="28"/>
    </row>
    <row r="2627" spans="6:90" x14ac:dyDescent="0.2">
      <c r="Y2627" s="28"/>
      <c r="Z2627" s="28"/>
      <c r="AA2627" s="28"/>
    </row>
    <row r="2628" spans="6:90" x14ac:dyDescent="0.2">
      <c r="Y2628" s="28"/>
      <c r="Z2628" s="28"/>
      <c r="AA2628" s="28"/>
    </row>
    <row r="2629" spans="6:90" x14ac:dyDescent="0.2">
      <c r="Y2629" s="28"/>
      <c r="Z2629" s="28"/>
      <c r="AA2629" s="28"/>
    </row>
    <row r="2630" spans="6:90" x14ac:dyDescent="0.2">
      <c r="Y2630" s="28"/>
      <c r="Z2630" s="28"/>
      <c r="AA2630" s="28"/>
    </row>
    <row r="2631" spans="6:90" x14ac:dyDescent="0.2">
      <c r="Y2631" s="28"/>
      <c r="Z2631" s="28"/>
      <c r="AA2631" s="28"/>
    </row>
    <row r="2632" spans="6:90" x14ac:dyDescent="0.2">
      <c r="Y2632" s="28"/>
      <c r="Z2632" s="28"/>
      <c r="AA2632" s="28"/>
    </row>
    <row r="2633" spans="6:90" x14ac:dyDescent="0.2">
      <c r="Y2633" s="28"/>
      <c r="Z2633" s="28"/>
      <c r="AA2633" s="28"/>
    </row>
    <row r="2634" spans="6:90" x14ac:dyDescent="0.2">
      <c r="F2634" s="28"/>
      <c r="H2634" s="28"/>
      <c r="I2634" s="28"/>
      <c r="J2634" s="28"/>
      <c r="K2634" s="28"/>
      <c r="L2634" s="28"/>
      <c r="M2634" s="28"/>
      <c r="N2634" s="28"/>
      <c r="O2634" s="28"/>
      <c r="P2634" s="28"/>
      <c r="Q2634" s="28"/>
      <c r="R2634" s="28"/>
      <c r="S2634" s="28"/>
      <c r="T2634" s="28"/>
      <c r="U2634" s="28"/>
      <c r="V2634" s="28"/>
      <c r="Y2634" s="28"/>
      <c r="Z2634" s="28"/>
      <c r="AA2634" s="28"/>
      <c r="AB2634" s="28"/>
      <c r="AG2634" s="28"/>
      <c r="AH2634" s="28"/>
      <c r="AI2634" s="28"/>
      <c r="AJ2634" s="28"/>
      <c r="AK2634" s="28"/>
      <c r="AL2634" s="28"/>
      <c r="AM2634" s="28"/>
      <c r="AX2634" s="28"/>
      <c r="AY2634" s="28"/>
      <c r="AZ2634" s="28"/>
      <c r="BA2634" s="28"/>
      <c r="BB2634" s="28"/>
      <c r="BC2634" s="28"/>
      <c r="BD2634" s="28"/>
      <c r="BO2634" s="28"/>
      <c r="BP2634" s="28"/>
      <c r="BQ2634" s="28"/>
      <c r="BR2634" s="28"/>
      <c r="BS2634" s="28"/>
      <c r="BT2634" s="28"/>
      <c r="BU2634" s="28"/>
      <c r="CF2634" s="28"/>
      <c r="CG2634" s="28"/>
      <c r="CH2634" s="28"/>
      <c r="CI2634" s="28"/>
      <c r="CJ2634" s="28"/>
      <c r="CK2634" s="28"/>
      <c r="CL2634" s="28"/>
    </row>
    <row r="2635" spans="6:90" x14ac:dyDescent="0.2">
      <c r="F2635" s="28"/>
      <c r="H2635" s="28"/>
      <c r="I2635" s="28"/>
      <c r="J2635" s="28"/>
      <c r="K2635" s="28"/>
      <c r="L2635" s="28"/>
      <c r="M2635" s="28"/>
      <c r="N2635" s="28"/>
      <c r="O2635" s="28"/>
      <c r="P2635" s="28"/>
      <c r="Q2635" s="28"/>
      <c r="R2635" s="28"/>
      <c r="S2635" s="28"/>
      <c r="T2635" s="28"/>
      <c r="U2635" s="28"/>
      <c r="V2635" s="28"/>
      <c r="Y2635" s="28"/>
      <c r="Z2635" s="28"/>
      <c r="AA2635" s="28"/>
      <c r="AB2635" s="28"/>
      <c r="AG2635" s="28"/>
      <c r="AH2635" s="28"/>
      <c r="AI2635" s="28"/>
      <c r="AJ2635" s="28"/>
      <c r="AK2635" s="28"/>
      <c r="AL2635" s="28"/>
      <c r="AM2635" s="28"/>
      <c r="AX2635" s="28"/>
      <c r="AY2635" s="28"/>
      <c r="AZ2635" s="28"/>
      <c r="BA2635" s="28"/>
      <c r="BB2635" s="28"/>
      <c r="BC2635" s="28"/>
      <c r="BD2635" s="28"/>
      <c r="BO2635" s="28"/>
      <c r="BP2635" s="28"/>
      <c r="BQ2635" s="28"/>
      <c r="BR2635" s="28"/>
      <c r="BS2635" s="28"/>
      <c r="BT2635" s="28"/>
      <c r="BU2635" s="28"/>
      <c r="CF2635" s="28"/>
      <c r="CG2635" s="28"/>
      <c r="CH2635" s="28"/>
      <c r="CI2635" s="28"/>
      <c r="CJ2635" s="28"/>
      <c r="CK2635" s="28"/>
      <c r="CL2635" s="28"/>
    </row>
    <row r="2636" spans="6:90" x14ac:dyDescent="0.2">
      <c r="F2636" s="28"/>
      <c r="H2636" s="28"/>
      <c r="I2636" s="28"/>
      <c r="J2636" s="28"/>
      <c r="K2636" s="28"/>
      <c r="L2636" s="28"/>
      <c r="M2636" s="28"/>
      <c r="N2636" s="28"/>
      <c r="O2636" s="28"/>
      <c r="P2636" s="28"/>
      <c r="Q2636" s="28"/>
      <c r="R2636" s="28"/>
      <c r="S2636" s="28"/>
      <c r="T2636" s="28"/>
      <c r="U2636" s="28"/>
      <c r="V2636" s="28"/>
      <c r="Y2636" s="28"/>
      <c r="Z2636" s="28"/>
      <c r="AA2636" s="28"/>
      <c r="AB2636" s="28"/>
      <c r="AG2636" s="28"/>
      <c r="AH2636" s="28"/>
      <c r="AI2636" s="28"/>
      <c r="AJ2636" s="28"/>
      <c r="AK2636" s="28"/>
      <c r="AL2636" s="28"/>
      <c r="AM2636" s="28"/>
      <c r="AX2636" s="28"/>
      <c r="AY2636" s="28"/>
      <c r="AZ2636" s="28"/>
      <c r="BA2636" s="28"/>
      <c r="BB2636" s="28"/>
      <c r="BC2636" s="28"/>
      <c r="BD2636" s="28"/>
      <c r="BO2636" s="28"/>
      <c r="BP2636" s="28"/>
      <c r="BQ2636" s="28"/>
      <c r="BR2636" s="28"/>
      <c r="BS2636" s="28"/>
      <c r="BT2636" s="28"/>
      <c r="BU2636" s="28"/>
      <c r="CF2636" s="28"/>
      <c r="CG2636" s="28"/>
      <c r="CH2636" s="28"/>
      <c r="CI2636" s="28"/>
      <c r="CJ2636" s="28"/>
      <c r="CK2636" s="28"/>
      <c r="CL2636" s="28"/>
    </row>
    <row r="2637" spans="6:90" x14ac:dyDescent="0.2">
      <c r="F2637" s="28"/>
      <c r="H2637" s="28"/>
      <c r="I2637" s="28"/>
      <c r="J2637" s="28"/>
      <c r="K2637" s="28"/>
      <c r="L2637" s="28"/>
      <c r="M2637" s="28"/>
      <c r="N2637" s="28"/>
      <c r="O2637" s="28"/>
      <c r="P2637" s="28"/>
      <c r="Q2637" s="28"/>
      <c r="R2637" s="28"/>
      <c r="S2637" s="28"/>
      <c r="T2637" s="28"/>
      <c r="U2637" s="28"/>
      <c r="V2637" s="28"/>
      <c r="Y2637" s="28"/>
      <c r="Z2637" s="28"/>
      <c r="AA2637" s="28"/>
      <c r="AB2637" s="28"/>
      <c r="AG2637" s="28"/>
      <c r="AH2637" s="28"/>
      <c r="AI2637" s="28"/>
      <c r="AJ2637" s="28"/>
      <c r="AK2637" s="28"/>
      <c r="AL2637" s="28"/>
      <c r="AM2637" s="28"/>
      <c r="AX2637" s="28"/>
      <c r="AY2637" s="28"/>
      <c r="AZ2637" s="28"/>
      <c r="BA2637" s="28"/>
      <c r="BB2637" s="28"/>
      <c r="BC2637" s="28"/>
      <c r="BD2637" s="28"/>
      <c r="BO2637" s="28"/>
      <c r="BP2637" s="28"/>
      <c r="BQ2637" s="28"/>
      <c r="BR2637" s="28"/>
      <c r="BS2637" s="28"/>
      <c r="BT2637" s="28"/>
      <c r="BU2637" s="28"/>
      <c r="CF2637" s="28"/>
      <c r="CG2637" s="28"/>
      <c r="CH2637" s="28"/>
      <c r="CI2637" s="28"/>
      <c r="CJ2637" s="28"/>
      <c r="CK2637" s="28"/>
      <c r="CL2637" s="28"/>
    </row>
    <row r="2638" spans="6:90" x14ac:dyDescent="0.2">
      <c r="F2638" s="28"/>
      <c r="H2638" s="28"/>
      <c r="I2638" s="28"/>
      <c r="J2638" s="28"/>
      <c r="K2638" s="28"/>
      <c r="L2638" s="28"/>
      <c r="M2638" s="28"/>
      <c r="N2638" s="28"/>
      <c r="O2638" s="28"/>
      <c r="P2638" s="28"/>
      <c r="Q2638" s="28"/>
      <c r="R2638" s="28"/>
      <c r="S2638" s="28"/>
      <c r="T2638" s="28"/>
      <c r="U2638" s="28"/>
      <c r="V2638" s="28"/>
      <c r="Y2638" s="28"/>
      <c r="Z2638" s="28"/>
      <c r="AA2638" s="28"/>
      <c r="AB2638" s="28"/>
      <c r="AG2638" s="28"/>
      <c r="AH2638" s="28"/>
      <c r="AI2638" s="28"/>
      <c r="AJ2638" s="28"/>
      <c r="AK2638" s="28"/>
      <c r="AL2638" s="28"/>
      <c r="AM2638" s="28"/>
      <c r="AX2638" s="28"/>
      <c r="AY2638" s="28"/>
      <c r="AZ2638" s="28"/>
      <c r="BA2638" s="28"/>
      <c r="BB2638" s="28"/>
      <c r="BC2638" s="28"/>
      <c r="BD2638" s="28"/>
      <c r="BO2638" s="28"/>
      <c r="BP2638" s="28"/>
      <c r="BQ2638" s="28"/>
      <c r="BR2638" s="28"/>
      <c r="BS2638" s="28"/>
      <c r="BT2638" s="28"/>
      <c r="BU2638" s="28"/>
      <c r="CF2638" s="28"/>
      <c r="CG2638" s="28"/>
      <c r="CH2638" s="28"/>
      <c r="CI2638" s="28"/>
      <c r="CJ2638" s="28"/>
      <c r="CK2638" s="28"/>
      <c r="CL2638" s="28"/>
    </row>
    <row r="2639" spans="6:90" x14ac:dyDescent="0.2">
      <c r="F2639" s="28"/>
      <c r="H2639" s="28"/>
      <c r="I2639" s="28"/>
      <c r="J2639" s="28"/>
      <c r="K2639" s="28"/>
      <c r="L2639" s="28"/>
      <c r="M2639" s="28"/>
      <c r="N2639" s="28"/>
      <c r="O2639" s="28"/>
      <c r="P2639" s="28"/>
      <c r="Q2639" s="28"/>
      <c r="R2639" s="28"/>
      <c r="S2639" s="28"/>
      <c r="T2639" s="28"/>
      <c r="U2639" s="28"/>
      <c r="V2639" s="28"/>
      <c r="Y2639" s="28"/>
      <c r="Z2639" s="28"/>
      <c r="AA2639" s="28"/>
      <c r="AB2639" s="28"/>
      <c r="AG2639" s="28"/>
      <c r="AH2639" s="28"/>
      <c r="AI2639" s="28"/>
      <c r="AJ2639" s="28"/>
      <c r="AK2639" s="28"/>
      <c r="AL2639" s="28"/>
      <c r="AM2639" s="28"/>
      <c r="AX2639" s="28"/>
      <c r="AY2639" s="28"/>
      <c r="AZ2639" s="28"/>
      <c r="BA2639" s="28"/>
      <c r="BB2639" s="28"/>
      <c r="BC2639" s="28"/>
      <c r="BD2639" s="28"/>
      <c r="BO2639" s="28"/>
      <c r="BP2639" s="28"/>
      <c r="BQ2639" s="28"/>
      <c r="BR2639" s="28"/>
      <c r="BS2639" s="28"/>
      <c r="BT2639" s="28"/>
      <c r="BU2639" s="28"/>
      <c r="CF2639" s="28"/>
      <c r="CG2639" s="28"/>
      <c r="CH2639" s="28"/>
      <c r="CI2639" s="28"/>
      <c r="CJ2639" s="28"/>
      <c r="CK2639" s="28"/>
      <c r="CL2639" s="28"/>
    </row>
    <row r="2640" spans="6:90" x14ac:dyDescent="0.2">
      <c r="F2640" s="28"/>
      <c r="H2640" s="28"/>
      <c r="I2640" s="28"/>
      <c r="J2640" s="28"/>
      <c r="K2640" s="28"/>
      <c r="L2640" s="28"/>
      <c r="M2640" s="28"/>
      <c r="N2640" s="28"/>
      <c r="O2640" s="28"/>
      <c r="P2640" s="28"/>
      <c r="Q2640" s="28"/>
      <c r="R2640" s="28"/>
      <c r="S2640" s="28"/>
      <c r="T2640" s="28"/>
      <c r="U2640" s="28"/>
      <c r="V2640" s="28"/>
      <c r="Y2640" s="28"/>
      <c r="Z2640" s="28"/>
      <c r="AA2640" s="28"/>
      <c r="AB2640" s="28"/>
      <c r="AG2640" s="28"/>
      <c r="AH2640" s="28"/>
      <c r="AI2640" s="28"/>
      <c r="AJ2640" s="28"/>
      <c r="AK2640" s="28"/>
      <c r="AL2640" s="28"/>
      <c r="AM2640" s="28"/>
      <c r="AX2640" s="28"/>
      <c r="AY2640" s="28"/>
      <c r="AZ2640" s="28"/>
      <c r="BA2640" s="28"/>
      <c r="BB2640" s="28"/>
      <c r="BC2640" s="28"/>
      <c r="BD2640" s="28"/>
      <c r="BO2640" s="28"/>
      <c r="BP2640" s="28"/>
      <c r="BQ2640" s="28"/>
      <c r="BR2640" s="28"/>
      <c r="BS2640" s="28"/>
      <c r="BT2640" s="28"/>
      <c r="BU2640" s="28"/>
      <c r="CF2640" s="28"/>
      <c r="CG2640" s="28"/>
      <c r="CH2640" s="28"/>
      <c r="CI2640" s="28"/>
      <c r="CJ2640" s="28"/>
      <c r="CK2640" s="28"/>
      <c r="CL2640" s="28"/>
    </row>
    <row r="2641" spans="6:90" x14ac:dyDescent="0.2">
      <c r="F2641" s="28"/>
      <c r="H2641" s="28"/>
      <c r="I2641" s="28"/>
      <c r="J2641" s="28"/>
      <c r="K2641" s="28"/>
      <c r="L2641" s="28"/>
      <c r="M2641" s="28"/>
      <c r="N2641" s="28"/>
      <c r="O2641" s="28"/>
      <c r="P2641" s="28"/>
      <c r="Q2641" s="28"/>
      <c r="R2641" s="28"/>
      <c r="S2641" s="28"/>
      <c r="T2641" s="28"/>
      <c r="U2641" s="28"/>
      <c r="V2641" s="28"/>
      <c r="Y2641" s="28"/>
      <c r="Z2641" s="28"/>
      <c r="AA2641" s="28"/>
      <c r="AB2641" s="28"/>
      <c r="AG2641" s="28"/>
      <c r="AH2641" s="28"/>
      <c r="AI2641" s="28"/>
      <c r="AJ2641" s="28"/>
      <c r="AK2641" s="28"/>
      <c r="AL2641" s="28"/>
      <c r="AM2641" s="28"/>
      <c r="AX2641" s="28"/>
      <c r="AY2641" s="28"/>
      <c r="AZ2641" s="28"/>
      <c r="BA2641" s="28"/>
      <c r="BB2641" s="28"/>
      <c r="BC2641" s="28"/>
      <c r="BD2641" s="28"/>
      <c r="BO2641" s="28"/>
      <c r="BP2641" s="28"/>
      <c r="BQ2641" s="28"/>
      <c r="BR2641" s="28"/>
      <c r="BS2641" s="28"/>
      <c r="BT2641" s="28"/>
      <c r="BU2641" s="28"/>
      <c r="CF2641" s="28"/>
      <c r="CG2641" s="28"/>
      <c r="CH2641" s="28"/>
      <c r="CI2641" s="28"/>
      <c r="CJ2641" s="28"/>
      <c r="CK2641" s="28"/>
      <c r="CL2641" s="28"/>
    </row>
    <row r="2642" spans="6:90" x14ac:dyDescent="0.2">
      <c r="F2642" s="28"/>
      <c r="H2642" s="28"/>
      <c r="I2642" s="28"/>
      <c r="J2642" s="28"/>
      <c r="K2642" s="28"/>
      <c r="L2642" s="28"/>
      <c r="M2642" s="28"/>
      <c r="N2642" s="28"/>
      <c r="O2642" s="28"/>
      <c r="P2642" s="28"/>
      <c r="Q2642" s="28"/>
      <c r="R2642" s="28"/>
      <c r="S2642" s="28"/>
      <c r="T2642" s="28"/>
      <c r="U2642" s="28"/>
      <c r="V2642" s="28"/>
      <c r="Y2642" s="28"/>
      <c r="Z2642" s="28"/>
      <c r="AA2642" s="28"/>
      <c r="AB2642" s="28"/>
      <c r="AG2642" s="28"/>
      <c r="AH2642" s="28"/>
      <c r="AI2642" s="28"/>
      <c r="AJ2642" s="28"/>
      <c r="AK2642" s="28"/>
      <c r="AL2642" s="28"/>
      <c r="AM2642" s="28"/>
      <c r="AX2642" s="28"/>
      <c r="AY2642" s="28"/>
      <c r="AZ2642" s="28"/>
      <c r="BA2642" s="28"/>
      <c r="BB2642" s="28"/>
      <c r="BC2642" s="28"/>
      <c r="BD2642" s="28"/>
      <c r="BO2642" s="28"/>
      <c r="BP2642" s="28"/>
      <c r="BQ2642" s="28"/>
      <c r="BR2642" s="28"/>
      <c r="BS2642" s="28"/>
      <c r="BT2642" s="28"/>
      <c r="BU2642" s="28"/>
      <c r="CF2642" s="28"/>
      <c r="CG2642" s="28"/>
      <c r="CH2642" s="28"/>
      <c r="CI2642" s="28"/>
      <c r="CJ2642" s="28"/>
      <c r="CK2642" s="28"/>
      <c r="CL2642" s="28"/>
    </row>
    <row r="2643" spans="6:90" x14ac:dyDescent="0.2">
      <c r="F2643" s="28"/>
      <c r="H2643" s="28"/>
      <c r="I2643" s="28"/>
      <c r="J2643" s="28"/>
      <c r="K2643" s="28"/>
      <c r="L2643" s="28"/>
      <c r="M2643" s="28"/>
      <c r="N2643" s="28"/>
      <c r="O2643" s="28"/>
      <c r="P2643" s="28"/>
      <c r="Q2643" s="28"/>
      <c r="R2643" s="28"/>
      <c r="S2643" s="28"/>
      <c r="T2643" s="28"/>
      <c r="U2643" s="28"/>
      <c r="V2643" s="28"/>
      <c r="Y2643" s="28"/>
      <c r="Z2643" s="28"/>
      <c r="AA2643" s="28"/>
      <c r="AB2643" s="28"/>
      <c r="AG2643" s="28"/>
      <c r="AH2643" s="28"/>
      <c r="AI2643" s="28"/>
      <c r="AJ2643" s="28"/>
      <c r="AK2643" s="28"/>
      <c r="AL2643" s="28"/>
      <c r="AM2643" s="28"/>
      <c r="AX2643" s="28"/>
      <c r="AY2643" s="28"/>
      <c r="AZ2643" s="28"/>
      <c r="BA2643" s="28"/>
      <c r="BB2643" s="28"/>
      <c r="BC2643" s="28"/>
      <c r="BD2643" s="28"/>
      <c r="BO2643" s="28"/>
      <c r="BP2643" s="28"/>
      <c r="BQ2643" s="28"/>
      <c r="BR2643" s="28"/>
      <c r="BS2643" s="28"/>
      <c r="BT2643" s="28"/>
      <c r="BU2643" s="28"/>
      <c r="CF2643" s="28"/>
      <c r="CG2643" s="28"/>
      <c r="CH2643" s="28"/>
      <c r="CI2643" s="28"/>
      <c r="CJ2643" s="28"/>
      <c r="CK2643" s="28"/>
      <c r="CL2643" s="28"/>
    </row>
    <row r="2644" spans="6:90" x14ac:dyDescent="0.2">
      <c r="F2644" s="28"/>
      <c r="H2644" s="28"/>
      <c r="I2644" s="28"/>
      <c r="J2644" s="28"/>
      <c r="K2644" s="28"/>
      <c r="L2644" s="28"/>
      <c r="M2644" s="28"/>
      <c r="N2644" s="28"/>
      <c r="O2644" s="28"/>
      <c r="P2644" s="28"/>
      <c r="Q2644" s="28"/>
      <c r="R2644" s="28"/>
      <c r="S2644" s="28"/>
      <c r="T2644" s="28"/>
      <c r="U2644" s="28"/>
      <c r="V2644" s="28"/>
      <c r="Y2644" s="28"/>
      <c r="Z2644" s="28"/>
      <c r="AA2644" s="28"/>
      <c r="AB2644" s="28"/>
      <c r="AG2644" s="28"/>
      <c r="AH2644" s="28"/>
      <c r="AI2644" s="28"/>
      <c r="AJ2644" s="28"/>
      <c r="AK2644" s="28"/>
      <c r="AL2644" s="28"/>
      <c r="AM2644" s="28"/>
      <c r="AX2644" s="28"/>
      <c r="AY2644" s="28"/>
      <c r="AZ2644" s="28"/>
      <c r="BA2644" s="28"/>
      <c r="BB2644" s="28"/>
      <c r="BC2644" s="28"/>
      <c r="BD2644" s="28"/>
      <c r="BO2644" s="28"/>
      <c r="BP2644" s="28"/>
      <c r="BQ2644" s="28"/>
      <c r="BR2644" s="28"/>
      <c r="BS2644" s="28"/>
      <c r="BT2644" s="28"/>
      <c r="BU2644" s="28"/>
      <c r="CF2644" s="28"/>
      <c r="CG2644" s="28"/>
      <c r="CH2644" s="28"/>
      <c r="CI2644" s="28"/>
      <c r="CJ2644" s="28"/>
      <c r="CK2644" s="28"/>
      <c r="CL2644" s="28"/>
    </row>
    <row r="2645" spans="6:90" x14ac:dyDescent="0.2">
      <c r="F2645" s="28"/>
      <c r="H2645" s="28"/>
      <c r="I2645" s="28"/>
      <c r="J2645" s="28"/>
      <c r="K2645" s="28"/>
      <c r="L2645" s="28"/>
      <c r="M2645" s="28"/>
      <c r="N2645" s="28"/>
      <c r="O2645" s="28"/>
      <c r="P2645" s="28"/>
      <c r="Q2645" s="28"/>
      <c r="R2645" s="28"/>
      <c r="S2645" s="28"/>
      <c r="T2645" s="28"/>
      <c r="U2645" s="28"/>
      <c r="V2645" s="28"/>
      <c r="Y2645" s="28"/>
      <c r="Z2645" s="28"/>
      <c r="AA2645" s="28"/>
      <c r="AB2645" s="28"/>
      <c r="AG2645" s="28"/>
      <c r="AH2645" s="28"/>
      <c r="AI2645" s="28"/>
      <c r="AJ2645" s="28"/>
      <c r="AK2645" s="28"/>
      <c r="AL2645" s="28"/>
      <c r="AM2645" s="28"/>
      <c r="AX2645" s="28"/>
      <c r="AY2645" s="28"/>
      <c r="AZ2645" s="28"/>
      <c r="BA2645" s="28"/>
      <c r="BB2645" s="28"/>
      <c r="BC2645" s="28"/>
      <c r="BD2645" s="28"/>
      <c r="BO2645" s="28"/>
      <c r="BP2645" s="28"/>
      <c r="BQ2645" s="28"/>
      <c r="BR2645" s="28"/>
      <c r="BS2645" s="28"/>
      <c r="BT2645" s="28"/>
      <c r="BU2645" s="28"/>
      <c r="CF2645" s="28"/>
      <c r="CG2645" s="28"/>
      <c r="CH2645" s="28"/>
      <c r="CI2645" s="28"/>
      <c r="CJ2645" s="28"/>
      <c r="CK2645" s="28"/>
      <c r="CL2645" s="28"/>
    </row>
    <row r="2646" spans="6:90" x14ac:dyDescent="0.2">
      <c r="F2646" s="28"/>
      <c r="H2646" s="28"/>
      <c r="I2646" s="28"/>
      <c r="J2646" s="28"/>
      <c r="K2646" s="28"/>
      <c r="L2646" s="28"/>
      <c r="M2646" s="28"/>
      <c r="N2646" s="28"/>
      <c r="O2646" s="28"/>
      <c r="P2646" s="28"/>
      <c r="Q2646" s="28"/>
      <c r="R2646" s="28"/>
      <c r="S2646" s="28"/>
      <c r="T2646" s="28"/>
      <c r="U2646" s="28"/>
      <c r="V2646" s="28"/>
      <c r="Y2646" s="28"/>
      <c r="Z2646" s="28"/>
      <c r="AA2646" s="28"/>
      <c r="AB2646" s="28"/>
      <c r="AG2646" s="28"/>
      <c r="AH2646" s="28"/>
      <c r="AI2646" s="28"/>
      <c r="AJ2646" s="28"/>
      <c r="AK2646" s="28"/>
      <c r="AL2646" s="28"/>
      <c r="AM2646" s="28"/>
      <c r="AX2646" s="28"/>
      <c r="AY2646" s="28"/>
      <c r="AZ2646" s="28"/>
      <c r="BA2646" s="28"/>
      <c r="BB2646" s="28"/>
      <c r="BC2646" s="28"/>
      <c r="BD2646" s="28"/>
      <c r="BO2646" s="28"/>
      <c r="BP2646" s="28"/>
      <c r="BQ2646" s="28"/>
      <c r="BR2646" s="28"/>
      <c r="BS2646" s="28"/>
      <c r="BT2646" s="28"/>
      <c r="BU2646" s="28"/>
      <c r="CF2646" s="28"/>
      <c r="CG2646" s="28"/>
      <c r="CH2646" s="28"/>
      <c r="CI2646" s="28"/>
      <c r="CJ2646" s="28"/>
      <c r="CK2646" s="28"/>
      <c r="CL2646" s="28"/>
    </row>
    <row r="2647" spans="6:90" x14ac:dyDescent="0.2">
      <c r="F2647" s="28"/>
      <c r="H2647" s="28"/>
      <c r="I2647" s="28"/>
      <c r="J2647" s="28"/>
      <c r="K2647" s="28"/>
      <c r="L2647" s="28"/>
      <c r="M2647" s="28"/>
      <c r="N2647" s="28"/>
      <c r="O2647" s="28"/>
      <c r="P2647" s="28"/>
      <c r="Q2647" s="28"/>
      <c r="R2647" s="28"/>
      <c r="S2647" s="28"/>
      <c r="T2647" s="28"/>
      <c r="U2647" s="28"/>
      <c r="V2647" s="28"/>
      <c r="Y2647" s="28"/>
      <c r="Z2647" s="28"/>
      <c r="AA2647" s="28"/>
      <c r="AB2647" s="28"/>
      <c r="AG2647" s="28"/>
      <c r="AH2647" s="28"/>
      <c r="AI2647" s="28"/>
      <c r="AJ2647" s="28"/>
      <c r="AK2647" s="28"/>
      <c r="AL2647" s="28"/>
      <c r="AM2647" s="28"/>
      <c r="AX2647" s="28"/>
      <c r="AY2647" s="28"/>
      <c r="AZ2647" s="28"/>
      <c r="BA2647" s="28"/>
      <c r="BB2647" s="28"/>
      <c r="BC2647" s="28"/>
      <c r="BD2647" s="28"/>
      <c r="BO2647" s="28"/>
      <c r="BP2647" s="28"/>
      <c r="BQ2647" s="28"/>
      <c r="BR2647" s="28"/>
      <c r="BS2647" s="28"/>
      <c r="BT2647" s="28"/>
      <c r="BU2647" s="28"/>
      <c r="CF2647" s="28"/>
      <c r="CG2647" s="28"/>
      <c r="CH2647" s="28"/>
      <c r="CI2647" s="28"/>
      <c r="CJ2647" s="28"/>
      <c r="CK2647" s="28"/>
      <c r="CL2647" s="28"/>
    </row>
    <row r="2648" spans="6:90" x14ac:dyDescent="0.2">
      <c r="F2648" s="28"/>
      <c r="H2648" s="28"/>
      <c r="I2648" s="28"/>
      <c r="J2648" s="28"/>
      <c r="K2648" s="28"/>
      <c r="L2648" s="28"/>
      <c r="M2648" s="28"/>
      <c r="N2648" s="28"/>
      <c r="O2648" s="28"/>
      <c r="P2648" s="28"/>
      <c r="Q2648" s="28"/>
      <c r="R2648" s="28"/>
      <c r="S2648" s="28"/>
      <c r="T2648" s="28"/>
      <c r="U2648" s="28"/>
      <c r="V2648" s="28"/>
      <c r="Y2648" s="28"/>
      <c r="Z2648" s="28"/>
      <c r="AA2648" s="28"/>
      <c r="AB2648" s="28"/>
      <c r="AG2648" s="28"/>
      <c r="AH2648" s="28"/>
      <c r="AI2648" s="28"/>
      <c r="AJ2648" s="28"/>
      <c r="AK2648" s="28"/>
      <c r="AL2648" s="28"/>
      <c r="AM2648" s="28"/>
      <c r="AX2648" s="28"/>
      <c r="AY2648" s="28"/>
      <c r="AZ2648" s="28"/>
      <c r="BA2648" s="28"/>
      <c r="BB2648" s="28"/>
      <c r="BC2648" s="28"/>
      <c r="BD2648" s="28"/>
      <c r="BO2648" s="28"/>
      <c r="BP2648" s="28"/>
      <c r="BQ2648" s="28"/>
      <c r="BR2648" s="28"/>
      <c r="BS2648" s="28"/>
      <c r="BT2648" s="28"/>
      <c r="BU2648" s="28"/>
      <c r="CF2648" s="28"/>
      <c r="CG2648" s="28"/>
      <c r="CH2648" s="28"/>
      <c r="CI2648" s="28"/>
      <c r="CJ2648" s="28"/>
      <c r="CK2648" s="28"/>
      <c r="CL2648" s="28"/>
    </row>
    <row r="2649" spans="6:90" x14ac:dyDescent="0.2">
      <c r="F2649" s="28"/>
      <c r="H2649" s="28"/>
      <c r="I2649" s="28"/>
      <c r="J2649" s="28"/>
      <c r="K2649" s="28"/>
      <c r="L2649" s="28"/>
      <c r="M2649" s="28"/>
      <c r="N2649" s="28"/>
      <c r="O2649" s="28"/>
      <c r="P2649" s="28"/>
      <c r="Q2649" s="28"/>
      <c r="R2649" s="28"/>
      <c r="S2649" s="28"/>
      <c r="T2649" s="28"/>
      <c r="U2649" s="28"/>
      <c r="V2649" s="28"/>
      <c r="Y2649" s="28"/>
      <c r="Z2649" s="28"/>
      <c r="AA2649" s="28"/>
      <c r="AB2649" s="28"/>
      <c r="AG2649" s="28"/>
      <c r="AH2649" s="28"/>
      <c r="AI2649" s="28"/>
      <c r="AJ2649" s="28"/>
      <c r="AK2649" s="28"/>
      <c r="AL2649" s="28"/>
      <c r="AM2649" s="28"/>
      <c r="AX2649" s="28"/>
      <c r="AY2649" s="28"/>
      <c r="AZ2649" s="28"/>
      <c r="BA2649" s="28"/>
      <c r="BB2649" s="28"/>
      <c r="BC2649" s="28"/>
      <c r="BD2649" s="28"/>
      <c r="BO2649" s="28"/>
      <c r="BP2649" s="28"/>
      <c r="BQ2649" s="28"/>
      <c r="BR2649" s="28"/>
      <c r="BS2649" s="28"/>
      <c r="BT2649" s="28"/>
      <c r="BU2649" s="28"/>
      <c r="CF2649" s="28"/>
      <c r="CG2649" s="28"/>
      <c r="CH2649" s="28"/>
      <c r="CI2649" s="28"/>
      <c r="CJ2649" s="28"/>
      <c r="CK2649" s="28"/>
      <c r="CL2649" s="28"/>
    </row>
    <row r="2650" spans="6:90" x14ac:dyDescent="0.2">
      <c r="F2650" s="28"/>
      <c r="H2650" s="28"/>
      <c r="I2650" s="28"/>
      <c r="J2650" s="28"/>
      <c r="K2650" s="28"/>
      <c r="L2650" s="28"/>
      <c r="M2650" s="28"/>
      <c r="N2650" s="28"/>
      <c r="O2650" s="28"/>
      <c r="P2650" s="28"/>
      <c r="Q2650" s="28"/>
      <c r="R2650" s="28"/>
      <c r="S2650" s="28"/>
      <c r="T2650" s="28"/>
      <c r="U2650" s="28"/>
      <c r="V2650" s="28"/>
      <c r="Y2650" s="28"/>
      <c r="Z2650" s="28"/>
      <c r="AA2650" s="28"/>
      <c r="AB2650" s="28"/>
      <c r="AG2650" s="28"/>
      <c r="AH2650" s="28"/>
      <c r="AI2650" s="28"/>
      <c r="AJ2650" s="28"/>
      <c r="AK2650" s="28"/>
      <c r="AL2650" s="28"/>
      <c r="AM2650" s="28"/>
      <c r="AX2650" s="28"/>
      <c r="AY2650" s="28"/>
      <c r="AZ2650" s="28"/>
      <c r="BA2650" s="28"/>
      <c r="BB2650" s="28"/>
      <c r="BC2650" s="28"/>
      <c r="BD2650" s="28"/>
      <c r="BO2650" s="28"/>
      <c r="BP2650" s="28"/>
      <c r="BQ2650" s="28"/>
      <c r="BR2650" s="28"/>
      <c r="BS2650" s="28"/>
      <c r="BT2650" s="28"/>
      <c r="BU2650" s="28"/>
      <c r="CF2650" s="28"/>
      <c r="CG2650" s="28"/>
      <c r="CH2650" s="28"/>
      <c r="CI2650" s="28"/>
      <c r="CJ2650" s="28"/>
      <c r="CK2650" s="28"/>
      <c r="CL2650" s="28"/>
    </row>
    <row r="2651" spans="6:90" x14ac:dyDescent="0.2">
      <c r="F2651" s="28"/>
      <c r="H2651" s="28"/>
      <c r="I2651" s="28"/>
      <c r="J2651" s="28"/>
      <c r="K2651" s="28"/>
      <c r="L2651" s="28"/>
      <c r="M2651" s="28"/>
      <c r="N2651" s="28"/>
      <c r="O2651" s="28"/>
      <c r="P2651" s="28"/>
      <c r="Q2651" s="28"/>
      <c r="R2651" s="28"/>
      <c r="S2651" s="28"/>
      <c r="T2651" s="28"/>
      <c r="U2651" s="28"/>
      <c r="V2651" s="28"/>
      <c r="Y2651" s="28"/>
      <c r="Z2651" s="28"/>
      <c r="AA2651" s="28"/>
      <c r="AB2651" s="28"/>
      <c r="AG2651" s="28"/>
      <c r="AH2651" s="28"/>
      <c r="AI2651" s="28"/>
      <c r="AJ2651" s="28"/>
      <c r="AK2651" s="28"/>
      <c r="AL2651" s="28"/>
      <c r="AM2651" s="28"/>
      <c r="AX2651" s="28"/>
      <c r="AY2651" s="28"/>
      <c r="AZ2651" s="28"/>
      <c r="BA2651" s="28"/>
      <c r="BB2651" s="28"/>
      <c r="BC2651" s="28"/>
      <c r="BD2651" s="28"/>
      <c r="BO2651" s="28"/>
      <c r="BP2651" s="28"/>
      <c r="BQ2651" s="28"/>
      <c r="BR2651" s="28"/>
      <c r="BS2651" s="28"/>
      <c r="BT2651" s="28"/>
      <c r="BU2651" s="28"/>
      <c r="CF2651" s="28"/>
      <c r="CG2651" s="28"/>
      <c r="CH2651" s="28"/>
      <c r="CI2651" s="28"/>
      <c r="CJ2651" s="28"/>
      <c r="CK2651" s="28"/>
      <c r="CL2651" s="28"/>
    </row>
    <row r="2652" spans="6:90" x14ac:dyDescent="0.2">
      <c r="F2652" s="28"/>
      <c r="H2652" s="28"/>
      <c r="I2652" s="28"/>
      <c r="J2652" s="28"/>
      <c r="K2652" s="28"/>
      <c r="L2652" s="28"/>
      <c r="M2652" s="28"/>
      <c r="N2652" s="28"/>
      <c r="O2652" s="28"/>
      <c r="P2652" s="28"/>
      <c r="Q2652" s="28"/>
      <c r="R2652" s="28"/>
      <c r="S2652" s="28"/>
      <c r="T2652" s="28"/>
      <c r="U2652" s="28"/>
      <c r="V2652" s="28"/>
      <c r="Y2652" s="28"/>
      <c r="Z2652" s="28"/>
      <c r="AA2652" s="28"/>
      <c r="AB2652" s="28"/>
      <c r="AG2652" s="28"/>
      <c r="AH2652" s="28"/>
      <c r="AI2652" s="28"/>
      <c r="AJ2652" s="28"/>
      <c r="AK2652" s="28"/>
      <c r="AL2652" s="28"/>
      <c r="AM2652" s="28"/>
      <c r="AX2652" s="28"/>
      <c r="AY2652" s="28"/>
      <c r="AZ2652" s="28"/>
      <c r="BA2652" s="28"/>
      <c r="BB2652" s="28"/>
      <c r="BC2652" s="28"/>
      <c r="BD2652" s="28"/>
      <c r="BO2652" s="28"/>
      <c r="BP2652" s="28"/>
      <c r="BQ2652" s="28"/>
      <c r="BR2652" s="28"/>
      <c r="BS2652" s="28"/>
      <c r="BT2652" s="28"/>
      <c r="BU2652" s="28"/>
      <c r="CF2652" s="28"/>
      <c r="CG2652" s="28"/>
      <c r="CH2652" s="28"/>
      <c r="CI2652" s="28"/>
      <c r="CJ2652" s="28"/>
      <c r="CK2652" s="28"/>
      <c r="CL2652" s="28"/>
    </row>
    <row r="2653" spans="6:90" x14ac:dyDescent="0.2">
      <c r="F2653" s="28"/>
      <c r="H2653" s="28"/>
      <c r="I2653" s="28"/>
      <c r="J2653" s="28"/>
      <c r="K2653" s="28"/>
      <c r="L2653" s="28"/>
      <c r="M2653" s="28"/>
      <c r="N2653" s="28"/>
      <c r="O2653" s="28"/>
      <c r="P2653" s="28"/>
      <c r="Q2653" s="28"/>
      <c r="R2653" s="28"/>
      <c r="S2653" s="28"/>
      <c r="T2653" s="28"/>
      <c r="U2653" s="28"/>
      <c r="V2653" s="28"/>
      <c r="Y2653" s="28"/>
      <c r="Z2653" s="28"/>
      <c r="AA2653" s="28"/>
      <c r="AB2653" s="28"/>
      <c r="AG2653" s="28"/>
      <c r="AH2653" s="28"/>
      <c r="AI2653" s="28"/>
      <c r="AJ2653" s="28"/>
      <c r="AK2653" s="28"/>
      <c r="AL2653" s="28"/>
      <c r="AM2653" s="28"/>
      <c r="AX2653" s="28"/>
      <c r="AY2653" s="28"/>
      <c r="AZ2653" s="28"/>
      <c r="BA2653" s="28"/>
      <c r="BB2653" s="28"/>
      <c r="BC2653" s="28"/>
      <c r="BD2653" s="28"/>
      <c r="BO2653" s="28"/>
      <c r="BP2653" s="28"/>
      <c r="BQ2653" s="28"/>
      <c r="BR2653" s="28"/>
      <c r="BS2653" s="28"/>
      <c r="BT2653" s="28"/>
      <c r="BU2653" s="28"/>
      <c r="CF2653" s="28"/>
      <c r="CG2653" s="28"/>
      <c r="CH2653" s="28"/>
      <c r="CI2653" s="28"/>
      <c r="CJ2653" s="28"/>
      <c r="CK2653" s="28"/>
      <c r="CL2653" s="28"/>
    </row>
    <row r="2654" spans="6:90" x14ac:dyDescent="0.2">
      <c r="F2654" s="28"/>
      <c r="H2654" s="28"/>
      <c r="I2654" s="28"/>
      <c r="J2654" s="28"/>
      <c r="K2654" s="28"/>
      <c r="L2654" s="28"/>
      <c r="M2654" s="28"/>
      <c r="N2654" s="28"/>
      <c r="O2654" s="28"/>
      <c r="P2654" s="28"/>
      <c r="Q2654" s="28"/>
      <c r="R2654" s="28"/>
      <c r="S2654" s="28"/>
      <c r="T2654" s="28"/>
      <c r="U2654" s="28"/>
      <c r="V2654" s="28"/>
      <c r="Y2654" s="28"/>
      <c r="Z2654" s="28"/>
      <c r="AA2654" s="28"/>
      <c r="AB2654" s="28"/>
      <c r="AG2654" s="28"/>
      <c r="AH2654" s="28"/>
      <c r="AI2654" s="28"/>
      <c r="AJ2654" s="28"/>
      <c r="AK2654" s="28"/>
      <c r="AL2654" s="28"/>
      <c r="AM2654" s="28"/>
      <c r="AX2654" s="28"/>
      <c r="AY2654" s="28"/>
      <c r="AZ2654" s="28"/>
      <c r="BA2654" s="28"/>
      <c r="BB2654" s="28"/>
      <c r="BC2654" s="28"/>
      <c r="BD2654" s="28"/>
      <c r="BO2654" s="28"/>
      <c r="BP2654" s="28"/>
      <c r="BQ2654" s="28"/>
      <c r="BR2654" s="28"/>
      <c r="BS2654" s="28"/>
      <c r="BT2654" s="28"/>
      <c r="BU2654" s="28"/>
      <c r="CF2654" s="28"/>
      <c r="CG2654" s="28"/>
      <c r="CH2654" s="28"/>
      <c r="CI2654" s="28"/>
      <c r="CJ2654" s="28"/>
      <c r="CK2654" s="28"/>
      <c r="CL2654" s="28"/>
    </row>
    <row r="2655" spans="6:90" x14ac:dyDescent="0.2">
      <c r="F2655" s="28"/>
      <c r="H2655" s="28"/>
      <c r="I2655" s="28"/>
      <c r="J2655" s="28"/>
      <c r="K2655" s="28"/>
      <c r="L2655" s="28"/>
      <c r="M2655" s="28"/>
      <c r="N2655" s="28"/>
      <c r="O2655" s="28"/>
      <c r="P2655" s="28"/>
      <c r="Q2655" s="28"/>
      <c r="R2655" s="28"/>
      <c r="S2655" s="28"/>
      <c r="T2655" s="28"/>
      <c r="U2655" s="28"/>
      <c r="V2655" s="28"/>
      <c r="Y2655" s="28"/>
      <c r="Z2655" s="28"/>
      <c r="AA2655" s="28"/>
      <c r="AB2655" s="28"/>
      <c r="AG2655" s="28"/>
      <c r="AH2655" s="28"/>
      <c r="AI2655" s="28"/>
      <c r="AJ2655" s="28"/>
      <c r="AK2655" s="28"/>
      <c r="AL2655" s="28"/>
      <c r="AM2655" s="28"/>
      <c r="AX2655" s="28"/>
      <c r="AY2655" s="28"/>
      <c r="AZ2655" s="28"/>
      <c r="BA2655" s="28"/>
      <c r="BB2655" s="28"/>
      <c r="BC2655" s="28"/>
      <c r="BD2655" s="28"/>
      <c r="BO2655" s="28"/>
      <c r="BP2655" s="28"/>
      <c r="BQ2655" s="28"/>
      <c r="BR2655" s="28"/>
      <c r="BS2655" s="28"/>
      <c r="BT2655" s="28"/>
      <c r="BU2655" s="28"/>
      <c r="CF2655" s="28"/>
      <c r="CG2655" s="28"/>
      <c r="CH2655" s="28"/>
      <c r="CI2655" s="28"/>
      <c r="CJ2655" s="28"/>
      <c r="CK2655" s="28"/>
      <c r="CL2655" s="28"/>
    </row>
    <row r="2656" spans="6:90" x14ac:dyDescent="0.2">
      <c r="F2656" s="28"/>
      <c r="H2656" s="28"/>
      <c r="I2656" s="28"/>
      <c r="J2656" s="28"/>
      <c r="K2656" s="28"/>
      <c r="L2656" s="28"/>
      <c r="M2656" s="28"/>
      <c r="N2656" s="28"/>
      <c r="O2656" s="28"/>
      <c r="P2656" s="28"/>
      <c r="Q2656" s="28"/>
      <c r="R2656" s="28"/>
      <c r="S2656" s="28"/>
      <c r="T2656" s="28"/>
      <c r="U2656" s="28"/>
      <c r="V2656" s="28"/>
      <c r="Y2656" s="28"/>
      <c r="Z2656" s="28"/>
      <c r="AA2656" s="28"/>
      <c r="AB2656" s="28"/>
      <c r="AG2656" s="28"/>
      <c r="AH2656" s="28"/>
      <c r="AI2656" s="28"/>
      <c r="AJ2656" s="28"/>
      <c r="AK2656" s="28"/>
      <c r="AL2656" s="28"/>
      <c r="AM2656" s="28"/>
      <c r="AX2656" s="28"/>
      <c r="AY2656" s="28"/>
      <c r="AZ2656" s="28"/>
      <c r="BA2656" s="28"/>
      <c r="BB2656" s="28"/>
      <c r="BC2656" s="28"/>
      <c r="BD2656" s="28"/>
      <c r="BO2656" s="28"/>
      <c r="BP2656" s="28"/>
      <c r="BQ2656" s="28"/>
      <c r="BR2656" s="28"/>
      <c r="BS2656" s="28"/>
      <c r="BT2656" s="28"/>
      <c r="BU2656" s="28"/>
      <c r="CF2656" s="28"/>
      <c r="CG2656" s="28"/>
      <c r="CH2656" s="28"/>
      <c r="CI2656" s="28"/>
      <c r="CJ2656" s="28"/>
      <c r="CK2656" s="28"/>
      <c r="CL2656" s="28"/>
    </row>
    <row r="2657" spans="6:90" x14ac:dyDescent="0.2">
      <c r="F2657" s="28"/>
      <c r="H2657" s="28"/>
      <c r="I2657" s="28"/>
      <c r="J2657" s="28"/>
      <c r="K2657" s="28"/>
      <c r="L2657" s="28"/>
      <c r="M2657" s="28"/>
      <c r="N2657" s="28"/>
      <c r="O2657" s="28"/>
      <c r="P2657" s="28"/>
      <c r="Q2657" s="28"/>
      <c r="R2657" s="28"/>
      <c r="S2657" s="28"/>
      <c r="T2657" s="28"/>
      <c r="U2657" s="28"/>
      <c r="V2657" s="28"/>
      <c r="Y2657" s="28"/>
      <c r="Z2657" s="28"/>
      <c r="AA2657" s="28"/>
      <c r="AB2657" s="28"/>
      <c r="AG2657" s="28"/>
      <c r="AH2657" s="28"/>
      <c r="AI2657" s="28"/>
      <c r="AJ2657" s="28"/>
      <c r="AK2657" s="28"/>
      <c r="AL2657" s="28"/>
      <c r="AM2657" s="28"/>
      <c r="AX2657" s="28"/>
      <c r="AY2657" s="28"/>
      <c r="AZ2657" s="28"/>
      <c r="BA2657" s="28"/>
      <c r="BB2657" s="28"/>
      <c r="BC2657" s="28"/>
      <c r="BD2657" s="28"/>
      <c r="BO2657" s="28"/>
      <c r="BP2657" s="28"/>
      <c r="BQ2657" s="28"/>
      <c r="BR2657" s="28"/>
      <c r="BS2657" s="28"/>
      <c r="BT2657" s="28"/>
      <c r="BU2657" s="28"/>
      <c r="CF2657" s="28"/>
      <c r="CG2657" s="28"/>
      <c r="CH2657" s="28"/>
      <c r="CI2657" s="28"/>
      <c r="CJ2657" s="28"/>
      <c r="CK2657" s="28"/>
      <c r="CL2657" s="28"/>
    </row>
    <row r="2658" spans="6:90" x14ac:dyDescent="0.2">
      <c r="F2658" s="28"/>
      <c r="H2658" s="28"/>
      <c r="I2658" s="28"/>
      <c r="J2658" s="28"/>
      <c r="K2658" s="28"/>
      <c r="L2658" s="28"/>
      <c r="M2658" s="28"/>
      <c r="N2658" s="28"/>
      <c r="O2658" s="28"/>
      <c r="P2658" s="28"/>
      <c r="Q2658" s="28"/>
      <c r="R2658" s="28"/>
      <c r="S2658" s="28"/>
      <c r="T2658" s="28"/>
      <c r="U2658" s="28"/>
      <c r="V2658" s="28"/>
      <c r="Y2658" s="28"/>
      <c r="Z2658" s="28"/>
      <c r="AA2658" s="28"/>
      <c r="AB2658" s="28"/>
      <c r="AG2658" s="28"/>
      <c r="AH2658" s="28"/>
      <c r="AI2658" s="28"/>
      <c r="AJ2658" s="28"/>
      <c r="AK2658" s="28"/>
      <c r="AL2658" s="28"/>
      <c r="AM2658" s="28"/>
      <c r="AX2658" s="28"/>
      <c r="AY2658" s="28"/>
      <c r="AZ2658" s="28"/>
      <c r="BA2658" s="28"/>
      <c r="BB2658" s="28"/>
      <c r="BC2658" s="28"/>
      <c r="BD2658" s="28"/>
      <c r="BO2658" s="28"/>
      <c r="BP2658" s="28"/>
      <c r="BQ2658" s="28"/>
      <c r="BR2658" s="28"/>
      <c r="BS2658" s="28"/>
      <c r="BT2658" s="28"/>
      <c r="BU2658" s="28"/>
      <c r="CF2658" s="28"/>
      <c r="CG2658" s="28"/>
      <c r="CH2658" s="28"/>
      <c r="CI2658" s="28"/>
      <c r="CJ2658" s="28"/>
      <c r="CK2658" s="28"/>
      <c r="CL2658" s="28"/>
    </row>
    <row r="2659" spans="6:90" x14ac:dyDescent="0.2">
      <c r="F2659" s="28"/>
      <c r="H2659" s="28"/>
      <c r="I2659" s="28"/>
      <c r="J2659" s="28"/>
      <c r="K2659" s="28"/>
      <c r="L2659" s="28"/>
      <c r="M2659" s="28"/>
      <c r="N2659" s="28"/>
      <c r="O2659" s="28"/>
      <c r="P2659" s="28"/>
      <c r="Q2659" s="28"/>
      <c r="R2659" s="28"/>
      <c r="S2659" s="28"/>
      <c r="T2659" s="28"/>
      <c r="U2659" s="28"/>
      <c r="V2659" s="28"/>
      <c r="Y2659" s="28"/>
      <c r="Z2659" s="28"/>
      <c r="AA2659" s="28"/>
      <c r="AB2659" s="28"/>
      <c r="AG2659" s="28"/>
      <c r="AH2659" s="28"/>
      <c r="AI2659" s="28"/>
      <c r="AJ2659" s="28"/>
      <c r="AK2659" s="28"/>
      <c r="AL2659" s="28"/>
      <c r="AM2659" s="28"/>
      <c r="AX2659" s="28"/>
      <c r="AY2659" s="28"/>
      <c r="AZ2659" s="28"/>
      <c r="BA2659" s="28"/>
      <c r="BB2659" s="28"/>
      <c r="BC2659" s="28"/>
      <c r="BD2659" s="28"/>
      <c r="BO2659" s="28"/>
      <c r="BP2659" s="28"/>
      <c r="BQ2659" s="28"/>
      <c r="BR2659" s="28"/>
      <c r="BS2659" s="28"/>
      <c r="BT2659" s="28"/>
      <c r="BU2659" s="28"/>
      <c r="CF2659" s="28"/>
      <c r="CG2659" s="28"/>
      <c r="CH2659" s="28"/>
      <c r="CI2659" s="28"/>
      <c r="CJ2659" s="28"/>
      <c r="CK2659" s="28"/>
      <c r="CL2659" s="28"/>
    </row>
    <row r="2660" spans="6:90" x14ac:dyDescent="0.2">
      <c r="F2660" s="28"/>
      <c r="H2660" s="28"/>
      <c r="I2660" s="28"/>
      <c r="J2660" s="28"/>
      <c r="K2660" s="28"/>
      <c r="L2660" s="28"/>
      <c r="M2660" s="28"/>
      <c r="N2660" s="28"/>
      <c r="O2660" s="28"/>
      <c r="P2660" s="28"/>
      <c r="Q2660" s="28"/>
      <c r="R2660" s="28"/>
      <c r="S2660" s="28"/>
      <c r="T2660" s="28"/>
      <c r="U2660" s="28"/>
      <c r="V2660" s="28"/>
      <c r="Y2660" s="28"/>
      <c r="Z2660" s="28"/>
      <c r="AA2660" s="28"/>
      <c r="AB2660" s="28"/>
      <c r="AG2660" s="28"/>
      <c r="AH2660" s="28"/>
      <c r="AI2660" s="28"/>
      <c r="AJ2660" s="28"/>
      <c r="AK2660" s="28"/>
      <c r="AL2660" s="28"/>
      <c r="AM2660" s="28"/>
      <c r="AX2660" s="28"/>
      <c r="AY2660" s="28"/>
      <c r="AZ2660" s="28"/>
      <c r="BA2660" s="28"/>
      <c r="BB2660" s="28"/>
      <c r="BC2660" s="28"/>
      <c r="BD2660" s="28"/>
      <c r="BO2660" s="28"/>
      <c r="BP2660" s="28"/>
      <c r="BQ2660" s="28"/>
      <c r="BR2660" s="28"/>
      <c r="BS2660" s="28"/>
      <c r="BT2660" s="28"/>
      <c r="BU2660" s="28"/>
      <c r="CF2660" s="28"/>
      <c r="CG2660" s="28"/>
      <c r="CH2660" s="28"/>
      <c r="CI2660" s="28"/>
      <c r="CJ2660" s="28"/>
      <c r="CK2660" s="28"/>
      <c r="CL2660" s="28"/>
    </row>
    <row r="2661" spans="6:90" x14ac:dyDescent="0.2">
      <c r="Y2661" s="28"/>
      <c r="Z2661" s="28"/>
      <c r="AA2661" s="28"/>
    </row>
    <row r="2662" spans="6:90" x14ac:dyDescent="0.2">
      <c r="Y2662" s="28"/>
      <c r="Z2662" s="28"/>
      <c r="AA2662" s="28"/>
    </row>
    <row r="2663" spans="6:90" x14ac:dyDescent="0.2">
      <c r="Y2663" s="28"/>
      <c r="Z2663" s="28"/>
      <c r="AA2663" s="28"/>
    </row>
    <row r="2664" spans="6:90" x14ac:dyDescent="0.2">
      <c r="Y2664" s="28"/>
      <c r="Z2664" s="28"/>
      <c r="AA2664" s="28"/>
    </row>
    <row r="2665" spans="6:90" x14ac:dyDescent="0.2">
      <c r="Y2665" s="28"/>
      <c r="Z2665" s="28"/>
      <c r="AA2665" s="28"/>
    </row>
    <row r="2666" spans="6:90" x14ac:dyDescent="0.2">
      <c r="Y2666" s="28"/>
      <c r="Z2666" s="28"/>
      <c r="AA2666" s="28"/>
    </row>
    <row r="2667" spans="6:90" x14ac:dyDescent="0.2">
      <c r="Y2667" s="28"/>
      <c r="Z2667" s="28"/>
      <c r="AA2667" s="28"/>
    </row>
    <row r="2668" spans="6:90" x14ac:dyDescent="0.2">
      <c r="Y2668" s="28"/>
      <c r="Z2668" s="28"/>
      <c r="AA2668" s="28"/>
    </row>
    <row r="2669" spans="6:90" x14ac:dyDescent="0.2">
      <c r="Y2669" s="28"/>
      <c r="Z2669" s="28"/>
      <c r="AA2669" s="28"/>
    </row>
    <row r="2670" spans="6:90" x14ac:dyDescent="0.2">
      <c r="Y2670" s="28"/>
      <c r="Z2670" s="28"/>
      <c r="AA2670" s="28"/>
    </row>
    <row r="2671" spans="6:90" x14ac:dyDescent="0.2">
      <c r="Y2671" s="28"/>
      <c r="Z2671" s="28"/>
      <c r="AA2671" s="28"/>
    </row>
    <row r="2672" spans="6:90" x14ac:dyDescent="0.2">
      <c r="Y2672" s="28"/>
      <c r="Z2672" s="28"/>
      <c r="AA2672" s="28"/>
    </row>
    <row r="2673" spans="25:27" x14ac:dyDescent="0.2">
      <c r="Y2673" s="28"/>
      <c r="Z2673" s="28"/>
      <c r="AA2673" s="28"/>
    </row>
    <row r="2674" spans="25:27" x14ac:dyDescent="0.2">
      <c r="Y2674" s="28"/>
      <c r="Z2674" s="28"/>
      <c r="AA2674" s="28"/>
    </row>
    <row r="2675" spans="25:27" x14ac:dyDescent="0.2">
      <c r="Y2675" s="28"/>
      <c r="Z2675" s="28"/>
      <c r="AA2675" s="28"/>
    </row>
    <row r="2676" spans="25:27" x14ac:dyDescent="0.2">
      <c r="Y2676" s="28"/>
      <c r="Z2676" s="28"/>
      <c r="AA2676" s="28"/>
    </row>
    <row r="2677" spans="25:27" x14ac:dyDescent="0.2">
      <c r="Y2677" s="28"/>
      <c r="Z2677" s="28"/>
      <c r="AA2677" s="28"/>
    </row>
    <row r="2678" spans="25:27" x14ac:dyDescent="0.2">
      <c r="Y2678" s="28"/>
      <c r="Z2678" s="28"/>
      <c r="AA2678" s="28"/>
    </row>
    <row r="2679" spans="25:27" x14ac:dyDescent="0.2">
      <c r="Y2679" s="28"/>
      <c r="Z2679" s="28"/>
      <c r="AA2679" s="28"/>
    </row>
    <row r="2680" spans="25:27" x14ac:dyDescent="0.2">
      <c r="Y2680" s="28"/>
      <c r="Z2680" s="28"/>
      <c r="AA2680" s="28"/>
    </row>
    <row r="2681" spans="25:27" x14ac:dyDescent="0.2">
      <c r="Y2681" s="28"/>
      <c r="Z2681" s="28"/>
      <c r="AA2681" s="28"/>
    </row>
    <row r="2682" spans="25:27" x14ac:dyDescent="0.2">
      <c r="Y2682" s="28"/>
      <c r="Z2682" s="28"/>
      <c r="AA2682" s="28"/>
    </row>
  </sheetData>
  <mergeCells count="632">
    <mergeCell ref="BO2:BU2"/>
    <mergeCell ref="BO3:BV3"/>
    <mergeCell ref="CF2:CL2"/>
    <mergeCell ref="CF3:CM3"/>
    <mergeCell ref="P2:V2"/>
    <mergeCell ref="P3:W3"/>
    <mergeCell ref="AG2:AM2"/>
    <mergeCell ref="AG3:AN3"/>
    <mergeCell ref="AX2:BD2"/>
    <mergeCell ref="AX3:BE3"/>
    <mergeCell ref="B159:B160"/>
    <mergeCell ref="B123:B124"/>
    <mergeCell ref="CC2:CD2"/>
    <mergeCell ref="M3:O3"/>
    <mergeCell ref="AD3:AF3"/>
    <mergeCell ref="BL3:BN3"/>
    <mergeCell ref="CC3:CE3"/>
    <mergeCell ref="AP2:AT2"/>
    <mergeCell ref="AU2:AV2"/>
    <mergeCell ref="AU3:AW3"/>
    <mergeCell ref="BX2:CB2"/>
    <mergeCell ref="BL2:BM2"/>
    <mergeCell ref="M2:N2"/>
    <mergeCell ref="AD2:AE2"/>
    <mergeCell ref="Y2:AC2"/>
    <mergeCell ref="BG2:BK2"/>
    <mergeCell ref="B153:B157"/>
    <mergeCell ref="B66:B71"/>
    <mergeCell ref="B58:B60"/>
    <mergeCell ref="B61:B64"/>
    <mergeCell ref="B121:B122"/>
    <mergeCell ref="B125:B128"/>
    <mergeCell ref="B137:B139"/>
    <mergeCell ref="B130:B136"/>
    <mergeCell ref="B140:B144"/>
    <mergeCell ref="B145:B147"/>
    <mergeCell ref="B148:B152"/>
    <mergeCell ref="B115:B119"/>
    <mergeCell ref="C2:D2"/>
    <mergeCell ref="C3:D3"/>
    <mergeCell ref="B72:B90"/>
    <mergeCell ref="B91:B93"/>
    <mergeCell ref="H2:L2"/>
    <mergeCell ref="B100:B103"/>
    <mergeCell ref="B104:B109"/>
    <mergeCell ref="B36:B40"/>
    <mergeCell ref="B25:B30"/>
    <mergeCell ref="B31:B35"/>
    <mergeCell ref="B42:B46"/>
    <mergeCell ref="B52:B56"/>
    <mergeCell ref="B47:B51"/>
    <mergeCell ref="B19:B23"/>
    <mergeCell ref="B7:B12"/>
    <mergeCell ref="B13:B14"/>
    <mergeCell ref="B15:B16"/>
    <mergeCell ref="B17:B18"/>
    <mergeCell ref="B110:B114"/>
    <mergeCell ref="B94:B98"/>
    <mergeCell ref="B215:B219"/>
    <mergeCell ref="B161:B164"/>
    <mergeCell ref="B187:B191"/>
    <mergeCell ref="B176:B182"/>
    <mergeCell ref="B183:B186"/>
    <mergeCell ref="B209:B213"/>
    <mergeCell ref="B166:B170"/>
    <mergeCell ref="B207:B208"/>
    <mergeCell ref="B195:B198"/>
    <mergeCell ref="B193:B194"/>
    <mergeCell ref="B200:B206"/>
    <mergeCell ref="B171:B174"/>
    <mergeCell ref="B236:B240"/>
    <mergeCell ref="B225:B227"/>
    <mergeCell ref="B232:B235"/>
    <mergeCell ref="B228:B231"/>
    <mergeCell ref="B220:B223"/>
    <mergeCell ref="A288:B288"/>
    <mergeCell ref="B259:B270"/>
    <mergeCell ref="A259:A277"/>
    <mergeCell ref="A287:B287"/>
    <mergeCell ref="B243:B249"/>
    <mergeCell ref="B250:B255"/>
    <mergeCell ref="A279:A285"/>
    <mergeCell ref="B279:B282"/>
    <mergeCell ref="B283:B285"/>
    <mergeCell ref="B271:B277"/>
    <mergeCell ref="A7:A24"/>
    <mergeCell ref="A25:A41"/>
    <mergeCell ref="A42:A57"/>
    <mergeCell ref="A58:A65"/>
    <mergeCell ref="A243:A257"/>
    <mergeCell ref="A225:A241"/>
    <mergeCell ref="A215:A224"/>
    <mergeCell ref="A200:A214"/>
    <mergeCell ref="A193:A199"/>
    <mergeCell ref="A176:A192"/>
    <mergeCell ref="A166:A175"/>
    <mergeCell ref="A159:A165"/>
    <mergeCell ref="A130:A158"/>
    <mergeCell ref="A121:A129"/>
    <mergeCell ref="A100:A120"/>
    <mergeCell ref="A66:A99"/>
    <mergeCell ref="P7:P23"/>
    <mergeCell ref="Q7:Q23"/>
    <mergeCell ref="R7:R23"/>
    <mergeCell ref="S7:S23"/>
    <mergeCell ref="T7:T23"/>
    <mergeCell ref="U7:U23"/>
    <mergeCell ref="V7:V23"/>
    <mergeCell ref="AG7:AG23"/>
    <mergeCell ref="AH7:AH23"/>
    <mergeCell ref="AI7:AI23"/>
    <mergeCell ref="AJ7:AJ23"/>
    <mergeCell ref="AK7:AK23"/>
    <mergeCell ref="AL7:AL23"/>
    <mergeCell ref="AM7:AM23"/>
    <mergeCell ref="AX7:AX23"/>
    <mergeCell ref="AY7:AY23"/>
    <mergeCell ref="AZ7:AZ23"/>
    <mergeCell ref="BA7:BA23"/>
    <mergeCell ref="BB7:BB23"/>
    <mergeCell ref="BC7:BC23"/>
    <mergeCell ref="BD7:BD23"/>
    <mergeCell ref="BO7:BO23"/>
    <mergeCell ref="BP7:BP23"/>
    <mergeCell ref="BQ7:BQ23"/>
    <mergeCell ref="BR7:BR23"/>
    <mergeCell ref="BS7:BS23"/>
    <mergeCell ref="BT7:BT23"/>
    <mergeCell ref="BU7:BU23"/>
    <mergeCell ref="CF7:CF23"/>
    <mergeCell ref="CG7:CG23"/>
    <mergeCell ref="CH7:CH23"/>
    <mergeCell ref="CI7:CI23"/>
    <mergeCell ref="CJ7:CJ23"/>
    <mergeCell ref="CK7:CK23"/>
    <mergeCell ref="CL7:CL23"/>
    <mergeCell ref="P25:P40"/>
    <mergeCell ref="Q25:Q40"/>
    <mergeCell ref="R25:R40"/>
    <mergeCell ref="S25:S40"/>
    <mergeCell ref="T25:T40"/>
    <mergeCell ref="U25:U40"/>
    <mergeCell ref="V25:V40"/>
    <mergeCell ref="AG25:AG40"/>
    <mergeCell ref="AH25:AH40"/>
    <mergeCell ref="AI25:AI40"/>
    <mergeCell ref="AJ25:AJ40"/>
    <mergeCell ref="AK25:AK40"/>
    <mergeCell ref="AL25:AL40"/>
    <mergeCell ref="AM25:AM40"/>
    <mergeCell ref="AX25:AX40"/>
    <mergeCell ref="AY25:AY40"/>
    <mergeCell ref="CJ25:CJ40"/>
    <mergeCell ref="CK25:CK40"/>
    <mergeCell ref="AZ25:AZ40"/>
    <mergeCell ref="BA25:BA40"/>
    <mergeCell ref="BB25:BB40"/>
    <mergeCell ref="BC25:BC40"/>
    <mergeCell ref="BD25:BD40"/>
    <mergeCell ref="BO25:BO40"/>
    <mergeCell ref="BP25:BP40"/>
    <mergeCell ref="BQ25:BQ40"/>
    <mergeCell ref="BR25:BR40"/>
    <mergeCell ref="CL25:CL40"/>
    <mergeCell ref="P42:P56"/>
    <mergeCell ref="Q42:Q56"/>
    <mergeCell ref="R42:R56"/>
    <mergeCell ref="S42:S56"/>
    <mergeCell ref="T42:T56"/>
    <mergeCell ref="U42:U56"/>
    <mergeCell ref="V42:V56"/>
    <mergeCell ref="AG42:AG56"/>
    <mergeCell ref="AH42:AH56"/>
    <mergeCell ref="AI42:AI56"/>
    <mergeCell ref="AJ42:AJ56"/>
    <mergeCell ref="AK42:AK56"/>
    <mergeCell ref="AL42:AL56"/>
    <mergeCell ref="AM42:AM56"/>
    <mergeCell ref="AX42:AX56"/>
    <mergeCell ref="AY42:AY56"/>
    <mergeCell ref="BS25:BS40"/>
    <mergeCell ref="BT25:BT40"/>
    <mergeCell ref="BU25:BU40"/>
    <mergeCell ref="CF25:CF40"/>
    <mergeCell ref="CG25:CG40"/>
    <mergeCell ref="CH25:CH40"/>
    <mergeCell ref="CI25:CI40"/>
    <mergeCell ref="AZ42:AZ56"/>
    <mergeCell ref="BA42:BA56"/>
    <mergeCell ref="BB42:BB56"/>
    <mergeCell ref="BC42:BC56"/>
    <mergeCell ref="BD42:BD56"/>
    <mergeCell ref="BO42:BO56"/>
    <mergeCell ref="BP42:BP56"/>
    <mergeCell ref="BQ42:BQ56"/>
    <mergeCell ref="BR42:BR56"/>
    <mergeCell ref="BS42:BS56"/>
    <mergeCell ref="BT42:BT56"/>
    <mergeCell ref="BU42:BU56"/>
    <mergeCell ref="CF42:CF56"/>
    <mergeCell ref="CG42:CG56"/>
    <mergeCell ref="CH42:CH56"/>
    <mergeCell ref="CI42:CI56"/>
    <mergeCell ref="CJ42:CJ56"/>
    <mergeCell ref="CK42:CK56"/>
    <mergeCell ref="CL42:CL56"/>
    <mergeCell ref="P58:P64"/>
    <mergeCell ref="Q58:Q64"/>
    <mergeCell ref="R58:R64"/>
    <mergeCell ref="S58:S64"/>
    <mergeCell ref="T58:T64"/>
    <mergeCell ref="U58:U64"/>
    <mergeCell ref="V58:V64"/>
    <mergeCell ref="AG58:AG64"/>
    <mergeCell ref="AH58:AH64"/>
    <mergeCell ref="AI58:AI64"/>
    <mergeCell ref="AJ58:AJ64"/>
    <mergeCell ref="AK58:AK64"/>
    <mergeCell ref="AL58:AL64"/>
    <mergeCell ref="AM58:AM64"/>
    <mergeCell ref="AX58:AX64"/>
    <mergeCell ref="AY58:AY64"/>
    <mergeCell ref="AZ58:AZ64"/>
    <mergeCell ref="BA58:BA64"/>
    <mergeCell ref="BB58:BB64"/>
    <mergeCell ref="BC58:BC64"/>
    <mergeCell ref="BD58:BD64"/>
    <mergeCell ref="BO58:BO64"/>
    <mergeCell ref="BP58:BP64"/>
    <mergeCell ref="BQ58:BQ64"/>
    <mergeCell ref="BR58:BR64"/>
    <mergeCell ref="BS58:BS64"/>
    <mergeCell ref="BT58:BT64"/>
    <mergeCell ref="BU58:BU64"/>
    <mergeCell ref="CF58:CF64"/>
    <mergeCell ref="CG58:CG64"/>
    <mergeCell ref="CH58:CH64"/>
    <mergeCell ref="CI58:CI64"/>
    <mergeCell ref="CJ58:CJ64"/>
    <mergeCell ref="CK58:CK64"/>
    <mergeCell ref="CL58:CL64"/>
    <mergeCell ref="P66:P98"/>
    <mergeCell ref="Q66:Q98"/>
    <mergeCell ref="R66:R98"/>
    <mergeCell ref="S66:S98"/>
    <mergeCell ref="T66:T98"/>
    <mergeCell ref="U66:U98"/>
    <mergeCell ref="V66:V98"/>
    <mergeCell ref="AG66:AG98"/>
    <mergeCell ref="AH66:AH98"/>
    <mergeCell ref="AI66:AI98"/>
    <mergeCell ref="AJ66:AJ98"/>
    <mergeCell ref="AK66:AK98"/>
    <mergeCell ref="AL66:AL98"/>
    <mergeCell ref="AM66:AM98"/>
    <mergeCell ref="AX66:AX98"/>
    <mergeCell ref="AY66:AY98"/>
    <mergeCell ref="AZ66:AZ98"/>
    <mergeCell ref="BA66:BA98"/>
    <mergeCell ref="BB66:BB98"/>
    <mergeCell ref="BC66:BC98"/>
    <mergeCell ref="BD66:BD98"/>
    <mergeCell ref="BO66:BO98"/>
    <mergeCell ref="BP66:BP98"/>
    <mergeCell ref="BQ66:BQ98"/>
    <mergeCell ref="BR66:BR98"/>
    <mergeCell ref="BS66:BS98"/>
    <mergeCell ref="BT66:BT98"/>
    <mergeCell ref="BU66:BU98"/>
    <mergeCell ref="CF66:CF98"/>
    <mergeCell ref="CG66:CG98"/>
    <mergeCell ref="CH66:CH98"/>
    <mergeCell ref="CI66:CI98"/>
    <mergeCell ref="CJ66:CJ98"/>
    <mergeCell ref="CK66:CK98"/>
    <mergeCell ref="CL66:CL98"/>
    <mergeCell ref="P100:P119"/>
    <mergeCell ref="Q100:Q119"/>
    <mergeCell ref="R100:R119"/>
    <mergeCell ref="S100:S119"/>
    <mergeCell ref="T100:T119"/>
    <mergeCell ref="U100:U119"/>
    <mergeCell ref="V100:V119"/>
    <mergeCell ref="AG100:AG119"/>
    <mergeCell ref="AH100:AH119"/>
    <mergeCell ref="AI100:AI119"/>
    <mergeCell ref="AJ100:AJ119"/>
    <mergeCell ref="AK100:AK119"/>
    <mergeCell ref="AL100:AL119"/>
    <mergeCell ref="AM100:AM119"/>
    <mergeCell ref="AX100:AX119"/>
    <mergeCell ref="AY100:AY119"/>
    <mergeCell ref="AZ100:AZ119"/>
    <mergeCell ref="BA100:BA119"/>
    <mergeCell ref="BB100:BB119"/>
    <mergeCell ref="BC100:BC119"/>
    <mergeCell ref="BD100:BD119"/>
    <mergeCell ref="BO100:BO119"/>
    <mergeCell ref="BP100:BP119"/>
    <mergeCell ref="BQ100:BQ119"/>
    <mergeCell ref="BR100:BR119"/>
    <mergeCell ref="BS100:BS119"/>
    <mergeCell ref="BT100:BT119"/>
    <mergeCell ref="BU100:BU119"/>
    <mergeCell ref="CF100:CF119"/>
    <mergeCell ref="CG100:CG119"/>
    <mergeCell ref="CH100:CH119"/>
    <mergeCell ref="CI100:CI119"/>
    <mergeCell ref="CJ100:CJ119"/>
    <mergeCell ref="CK100:CK119"/>
    <mergeCell ref="CL100:CL119"/>
    <mergeCell ref="P121:P128"/>
    <mergeCell ref="Q121:Q128"/>
    <mergeCell ref="R121:R128"/>
    <mergeCell ref="S121:S128"/>
    <mergeCell ref="T121:T128"/>
    <mergeCell ref="U121:U128"/>
    <mergeCell ref="V121:V128"/>
    <mergeCell ref="AG121:AG128"/>
    <mergeCell ref="AH121:AH128"/>
    <mergeCell ref="AI121:AI128"/>
    <mergeCell ref="AJ121:AJ128"/>
    <mergeCell ref="AK121:AK128"/>
    <mergeCell ref="AL121:AL128"/>
    <mergeCell ref="AM121:AM128"/>
    <mergeCell ref="AX121:AX128"/>
    <mergeCell ref="AY121:AY128"/>
    <mergeCell ref="AZ121:AZ128"/>
    <mergeCell ref="BA121:BA128"/>
    <mergeCell ref="BB121:BB128"/>
    <mergeCell ref="BC121:BC128"/>
    <mergeCell ref="BD121:BD128"/>
    <mergeCell ref="BO121:BO128"/>
    <mergeCell ref="BP121:BP128"/>
    <mergeCell ref="BQ121:BQ128"/>
    <mergeCell ref="BR121:BR128"/>
    <mergeCell ref="BS121:BS128"/>
    <mergeCell ref="BT121:BT128"/>
    <mergeCell ref="BU121:BU128"/>
    <mergeCell ref="CF121:CF128"/>
    <mergeCell ref="CG121:CG128"/>
    <mergeCell ref="CH121:CH128"/>
    <mergeCell ref="CI121:CI128"/>
    <mergeCell ref="CJ121:CJ128"/>
    <mergeCell ref="CK121:CK128"/>
    <mergeCell ref="CL121:CL128"/>
    <mergeCell ref="P130:P157"/>
    <mergeCell ref="Q130:Q157"/>
    <mergeCell ref="R130:R157"/>
    <mergeCell ref="S130:S157"/>
    <mergeCell ref="T130:T157"/>
    <mergeCell ref="U130:U157"/>
    <mergeCell ref="V130:V157"/>
    <mergeCell ref="AG130:AG157"/>
    <mergeCell ref="AH130:AH157"/>
    <mergeCell ref="AI130:AI157"/>
    <mergeCell ref="AJ130:AJ157"/>
    <mergeCell ref="AK130:AK157"/>
    <mergeCell ref="AL130:AL157"/>
    <mergeCell ref="AM130:AM157"/>
    <mergeCell ref="AX130:AX157"/>
    <mergeCell ref="AY130:AY157"/>
    <mergeCell ref="AZ130:AZ157"/>
    <mergeCell ref="BA130:BA157"/>
    <mergeCell ref="BB130:BB157"/>
    <mergeCell ref="BC130:BC157"/>
    <mergeCell ref="BD130:BD157"/>
    <mergeCell ref="BO130:BO157"/>
    <mergeCell ref="BP130:BP157"/>
    <mergeCell ref="BQ130:BQ157"/>
    <mergeCell ref="BR130:BR157"/>
    <mergeCell ref="BS130:BS157"/>
    <mergeCell ref="BT130:BT157"/>
    <mergeCell ref="BU130:BU157"/>
    <mergeCell ref="CF130:CF157"/>
    <mergeCell ref="CG130:CG157"/>
    <mergeCell ref="CH130:CH157"/>
    <mergeCell ref="CI130:CI157"/>
    <mergeCell ref="CJ130:CJ157"/>
    <mergeCell ref="CK130:CK157"/>
    <mergeCell ref="CL130:CL157"/>
    <mergeCell ref="P159:P164"/>
    <mergeCell ref="Q159:Q164"/>
    <mergeCell ref="R159:R164"/>
    <mergeCell ref="S159:S164"/>
    <mergeCell ref="T159:T164"/>
    <mergeCell ref="U159:U164"/>
    <mergeCell ref="V159:V164"/>
    <mergeCell ref="AG159:AG164"/>
    <mergeCell ref="AH159:AH164"/>
    <mergeCell ref="AI159:AI164"/>
    <mergeCell ref="AJ159:AJ164"/>
    <mergeCell ref="AK159:AK164"/>
    <mergeCell ref="AL159:AL164"/>
    <mergeCell ref="AM159:AM164"/>
    <mergeCell ref="AX159:AX164"/>
    <mergeCell ref="AY159:AY164"/>
    <mergeCell ref="AZ159:AZ164"/>
    <mergeCell ref="BA159:BA164"/>
    <mergeCell ref="BB159:BB164"/>
    <mergeCell ref="BC159:BC164"/>
    <mergeCell ref="BD159:BD164"/>
    <mergeCell ref="BO159:BO164"/>
    <mergeCell ref="BP159:BP164"/>
    <mergeCell ref="BQ159:BQ164"/>
    <mergeCell ref="BR159:BR164"/>
    <mergeCell ref="BS159:BS164"/>
    <mergeCell ref="BT159:BT164"/>
    <mergeCell ref="BU159:BU164"/>
    <mergeCell ref="CF159:CF164"/>
    <mergeCell ref="CG159:CG164"/>
    <mergeCell ref="CH159:CH164"/>
    <mergeCell ref="CI159:CI164"/>
    <mergeCell ref="CJ159:CJ164"/>
    <mergeCell ref="CK159:CK164"/>
    <mergeCell ref="CL159:CL164"/>
    <mergeCell ref="P166:P174"/>
    <mergeCell ref="Q166:Q174"/>
    <mergeCell ref="R166:R174"/>
    <mergeCell ref="S166:S174"/>
    <mergeCell ref="T166:T174"/>
    <mergeCell ref="U166:U174"/>
    <mergeCell ref="V166:V174"/>
    <mergeCell ref="AG166:AG174"/>
    <mergeCell ref="AH166:AH174"/>
    <mergeCell ref="AI166:AI174"/>
    <mergeCell ref="AJ166:AJ174"/>
    <mergeCell ref="AK166:AK174"/>
    <mergeCell ref="AL166:AL174"/>
    <mergeCell ref="AM166:AM174"/>
    <mergeCell ref="AX166:AX174"/>
    <mergeCell ref="AY166:AY174"/>
    <mergeCell ref="AZ166:AZ174"/>
    <mergeCell ref="BA166:BA174"/>
    <mergeCell ref="BB166:BB174"/>
    <mergeCell ref="BC166:BC174"/>
    <mergeCell ref="BD166:BD174"/>
    <mergeCell ref="BO166:BO174"/>
    <mergeCell ref="BP166:BP174"/>
    <mergeCell ref="BQ166:BQ174"/>
    <mergeCell ref="BR166:BR174"/>
    <mergeCell ref="BS166:BS174"/>
    <mergeCell ref="BT166:BT174"/>
    <mergeCell ref="BU166:BU174"/>
    <mergeCell ref="CF166:CF174"/>
    <mergeCell ref="CG166:CG174"/>
    <mergeCell ref="CH166:CH174"/>
    <mergeCell ref="CI166:CI174"/>
    <mergeCell ref="CJ166:CJ174"/>
    <mergeCell ref="CK166:CK174"/>
    <mergeCell ref="CL166:CL174"/>
    <mergeCell ref="P176:P191"/>
    <mergeCell ref="Q176:Q191"/>
    <mergeCell ref="R176:R191"/>
    <mergeCell ref="S176:S191"/>
    <mergeCell ref="T176:T191"/>
    <mergeCell ref="U176:U191"/>
    <mergeCell ref="V176:V191"/>
    <mergeCell ref="AG176:AG191"/>
    <mergeCell ref="AH176:AH191"/>
    <mergeCell ref="AI176:AI191"/>
    <mergeCell ref="AJ176:AJ191"/>
    <mergeCell ref="AK176:AK191"/>
    <mergeCell ref="AL176:AL191"/>
    <mergeCell ref="AM176:AM191"/>
    <mergeCell ref="AX176:AX191"/>
    <mergeCell ref="AY176:AY191"/>
    <mergeCell ref="AZ176:AZ191"/>
    <mergeCell ref="BA176:BA191"/>
    <mergeCell ref="BB176:BB191"/>
    <mergeCell ref="BC176:BC191"/>
    <mergeCell ref="BD176:BD191"/>
    <mergeCell ref="BO176:BO191"/>
    <mergeCell ref="BP176:BP191"/>
    <mergeCell ref="BQ176:BQ191"/>
    <mergeCell ref="BR176:BR191"/>
    <mergeCell ref="BS176:BS191"/>
    <mergeCell ref="BT176:BT191"/>
    <mergeCell ref="BU176:BU191"/>
    <mergeCell ref="CF176:CF191"/>
    <mergeCell ref="CG176:CG191"/>
    <mergeCell ref="CH176:CH191"/>
    <mergeCell ref="CI176:CI191"/>
    <mergeCell ref="CJ176:CJ191"/>
    <mergeCell ref="CK176:CK191"/>
    <mergeCell ref="CL176:CL191"/>
    <mergeCell ref="P193:P198"/>
    <mergeCell ref="Q193:Q198"/>
    <mergeCell ref="R193:R198"/>
    <mergeCell ref="S193:S198"/>
    <mergeCell ref="T193:T198"/>
    <mergeCell ref="U193:U198"/>
    <mergeCell ref="V193:V198"/>
    <mergeCell ref="AG193:AG198"/>
    <mergeCell ref="AH193:AH198"/>
    <mergeCell ref="AI193:AI198"/>
    <mergeCell ref="AJ193:AJ198"/>
    <mergeCell ref="AK193:AK198"/>
    <mergeCell ref="AL193:AL198"/>
    <mergeCell ref="AM193:AM198"/>
    <mergeCell ref="AX193:AX198"/>
    <mergeCell ref="AY193:AY198"/>
    <mergeCell ref="AZ193:AZ198"/>
    <mergeCell ref="BA193:BA198"/>
    <mergeCell ref="BB193:BB198"/>
    <mergeCell ref="BC193:BC198"/>
    <mergeCell ref="BD193:BD198"/>
    <mergeCell ref="BO193:BO198"/>
    <mergeCell ref="BP193:BP198"/>
    <mergeCell ref="BQ193:BQ198"/>
    <mergeCell ref="BR193:BR198"/>
    <mergeCell ref="BS193:BS198"/>
    <mergeCell ref="BT193:BT198"/>
    <mergeCell ref="BU193:BU198"/>
    <mergeCell ref="CF193:CF198"/>
    <mergeCell ref="CG193:CG198"/>
    <mergeCell ref="CH193:CH198"/>
    <mergeCell ref="CI193:CI198"/>
    <mergeCell ref="CJ193:CJ198"/>
    <mergeCell ref="CK193:CK198"/>
    <mergeCell ref="CL193:CL198"/>
    <mergeCell ref="P200:P213"/>
    <mergeCell ref="Q200:Q213"/>
    <mergeCell ref="R200:R213"/>
    <mergeCell ref="S200:S213"/>
    <mergeCell ref="T200:T213"/>
    <mergeCell ref="U200:U213"/>
    <mergeCell ref="V200:V213"/>
    <mergeCell ref="AG200:AG213"/>
    <mergeCell ref="AH200:AH213"/>
    <mergeCell ref="AI200:AI213"/>
    <mergeCell ref="AJ200:AJ213"/>
    <mergeCell ref="AK200:AK213"/>
    <mergeCell ref="AL200:AL213"/>
    <mergeCell ref="AM200:AM213"/>
    <mergeCell ref="AX200:AX213"/>
    <mergeCell ref="AY200:AY213"/>
    <mergeCell ref="AZ200:AZ213"/>
    <mergeCell ref="BA200:BA213"/>
    <mergeCell ref="BB200:BB213"/>
    <mergeCell ref="BC200:BC213"/>
    <mergeCell ref="BD200:BD213"/>
    <mergeCell ref="BO200:BO213"/>
    <mergeCell ref="BP200:BP213"/>
    <mergeCell ref="BQ200:BQ213"/>
    <mergeCell ref="BR200:BR213"/>
    <mergeCell ref="BS200:BS213"/>
    <mergeCell ref="BT200:BT213"/>
    <mergeCell ref="BU200:BU213"/>
    <mergeCell ref="CF200:CF213"/>
    <mergeCell ref="CG200:CG213"/>
    <mergeCell ref="CH200:CH213"/>
    <mergeCell ref="CI200:CI213"/>
    <mergeCell ref="CJ200:CJ213"/>
    <mergeCell ref="CK200:CK213"/>
    <mergeCell ref="CL200:CL213"/>
    <mergeCell ref="P215:P223"/>
    <mergeCell ref="Q215:Q223"/>
    <mergeCell ref="R215:R223"/>
    <mergeCell ref="S215:S223"/>
    <mergeCell ref="T215:T223"/>
    <mergeCell ref="U215:U223"/>
    <mergeCell ref="V215:V223"/>
    <mergeCell ref="AG215:AG223"/>
    <mergeCell ref="AH215:AH223"/>
    <mergeCell ref="BD215:BD223"/>
    <mergeCell ref="BO215:BO223"/>
    <mergeCell ref="BP215:BP223"/>
    <mergeCell ref="BQ215:BQ223"/>
    <mergeCell ref="BR215:BR223"/>
    <mergeCell ref="BS215:BS223"/>
    <mergeCell ref="BT215:BT223"/>
    <mergeCell ref="AI215:AI223"/>
    <mergeCell ref="AJ215:AJ223"/>
    <mergeCell ref="AK215:AK223"/>
    <mergeCell ref="AL215:AL223"/>
    <mergeCell ref="AM215:AM223"/>
    <mergeCell ref="AX215:AX223"/>
    <mergeCell ref="AY215:AY223"/>
    <mergeCell ref="AZ215:AZ223"/>
    <mergeCell ref="BA215:BA223"/>
    <mergeCell ref="AI225:AI240"/>
    <mergeCell ref="AJ225:AJ240"/>
    <mergeCell ref="AK225:AK240"/>
    <mergeCell ref="AL225:AL240"/>
    <mergeCell ref="AM225:AM240"/>
    <mergeCell ref="AX225:AX240"/>
    <mergeCell ref="AY225:AY240"/>
    <mergeCell ref="BB215:BB223"/>
    <mergeCell ref="BC215:BC223"/>
    <mergeCell ref="P225:P240"/>
    <mergeCell ref="Q225:Q240"/>
    <mergeCell ref="R225:R240"/>
    <mergeCell ref="S225:S240"/>
    <mergeCell ref="T225:T240"/>
    <mergeCell ref="U225:U240"/>
    <mergeCell ref="V225:V240"/>
    <mergeCell ref="AG225:AG240"/>
    <mergeCell ref="AH225:AH240"/>
    <mergeCell ref="BR225:BR240"/>
    <mergeCell ref="BU215:BU223"/>
    <mergeCell ref="CF215:CF223"/>
    <mergeCell ref="CG215:CG223"/>
    <mergeCell ref="CH215:CH223"/>
    <mergeCell ref="CI215:CI223"/>
    <mergeCell ref="CJ215:CJ223"/>
    <mergeCell ref="CK215:CK223"/>
    <mergeCell ref="CL215:CL223"/>
    <mergeCell ref="C1:E1"/>
    <mergeCell ref="BO4:BT4"/>
    <mergeCell ref="CF4:CK4"/>
    <mergeCell ref="P4:U4"/>
    <mergeCell ref="AG4:AL4"/>
    <mergeCell ref="AX4:BC4"/>
    <mergeCell ref="CL225:CL240"/>
    <mergeCell ref="BS225:BS240"/>
    <mergeCell ref="BT225:BT240"/>
    <mergeCell ref="BU225:BU240"/>
    <mergeCell ref="CF225:CF240"/>
    <mergeCell ref="CG225:CG240"/>
    <mergeCell ref="CH225:CH240"/>
    <mergeCell ref="CI225:CI240"/>
    <mergeCell ref="CJ225:CJ240"/>
    <mergeCell ref="CK225:CK240"/>
    <mergeCell ref="AZ225:AZ240"/>
    <mergeCell ref="BA225:BA240"/>
    <mergeCell ref="BB225:BB240"/>
    <mergeCell ref="BC225:BC240"/>
    <mergeCell ref="BD225:BD240"/>
    <mergeCell ref="BO225:BO240"/>
    <mergeCell ref="BP225:BP240"/>
    <mergeCell ref="BQ225:BQ240"/>
  </mergeCells>
  <conditionalFormatting sqref="N7">
    <cfRule type="cellIs" dxfId="42" priority="43" operator="notEqual">
      <formula>1</formula>
    </cfRule>
  </conditionalFormatting>
  <conditionalFormatting sqref="N8">
    <cfRule type="cellIs" dxfId="41" priority="42" operator="notEqual">
      <formula>1</formula>
    </cfRule>
  </conditionalFormatting>
  <conditionalFormatting sqref="N9:N21">
    <cfRule type="cellIs" dxfId="40" priority="41" operator="notEqual">
      <formula>1</formula>
    </cfRule>
  </conditionalFormatting>
  <conditionalFormatting sqref="AE7">
    <cfRule type="cellIs" dxfId="39" priority="40" operator="notEqual">
      <formula>1</formula>
    </cfRule>
  </conditionalFormatting>
  <conditionalFormatting sqref="AE8">
    <cfRule type="cellIs" dxfId="38" priority="39" operator="notEqual">
      <formula>1</formula>
    </cfRule>
  </conditionalFormatting>
  <conditionalFormatting sqref="AE9:AE21">
    <cfRule type="cellIs" dxfId="37" priority="38" operator="notEqual">
      <formula>1</formula>
    </cfRule>
  </conditionalFormatting>
  <conditionalFormatting sqref="AV7">
    <cfRule type="cellIs" dxfId="36" priority="37" operator="notEqual">
      <formula>1</formula>
    </cfRule>
  </conditionalFormatting>
  <conditionalFormatting sqref="AV8">
    <cfRule type="cellIs" dxfId="35" priority="36" operator="notEqual">
      <formula>1</formula>
    </cfRule>
  </conditionalFormatting>
  <conditionalFormatting sqref="AV9:AV21">
    <cfRule type="cellIs" dxfId="34" priority="35" operator="notEqual">
      <formula>1</formula>
    </cfRule>
  </conditionalFormatting>
  <conditionalFormatting sqref="BM7">
    <cfRule type="cellIs" dxfId="33" priority="34" operator="notEqual">
      <formula>1</formula>
    </cfRule>
  </conditionalFormatting>
  <conditionalFormatting sqref="BM8">
    <cfRule type="cellIs" dxfId="32" priority="33" operator="notEqual">
      <formula>1</formula>
    </cfRule>
  </conditionalFormatting>
  <conditionalFormatting sqref="BM9:BM21">
    <cfRule type="cellIs" dxfId="31" priority="32" operator="notEqual">
      <formula>1</formula>
    </cfRule>
  </conditionalFormatting>
  <conditionalFormatting sqref="CD7">
    <cfRule type="cellIs" dxfId="30" priority="31" operator="notEqual">
      <formula>1</formula>
    </cfRule>
  </conditionalFormatting>
  <conditionalFormatting sqref="CD8">
    <cfRule type="cellIs" dxfId="29" priority="30" operator="notEqual">
      <formula>1</formula>
    </cfRule>
  </conditionalFormatting>
  <conditionalFormatting sqref="CD9:CD21">
    <cfRule type="cellIs" dxfId="28" priority="29" operator="notEqual">
      <formula>1</formula>
    </cfRule>
  </conditionalFormatting>
  <conditionalFormatting sqref="CD25">
    <cfRule type="cellIs" dxfId="27" priority="28" operator="notEqual">
      <formula>1</formula>
    </cfRule>
  </conditionalFormatting>
  <conditionalFormatting sqref="CD26">
    <cfRule type="cellIs" dxfId="26" priority="27" operator="notEqual">
      <formula>1</formula>
    </cfRule>
  </conditionalFormatting>
  <conditionalFormatting sqref="CD27:CD38">
    <cfRule type="cellIs" dxfId="25" priority="26" operator="notEqual">
      <formula>1</formula>
    </cfRule>
  </conditionalFormatting>
  <conditionalFormatting sqref="CD25:CD38">
    <cfRule type="cellIs" dxfId="24" priority="25" operator="notEqual">
      <formula>1</formula>
    </cfRule>
  </conditionalFormatting>
  <conditionalFormatting sqref="BM25">
    <cfRule type="cellIs" dxfId="23" priority="24" operator="notEqual">
      <formula>1</formula>
    </cfRule>
  </conditionalFormatting>
  <conditionalFormatting sqref="BM26">
    <cfRule type="cellIs" dxfId="22" priority="23" operator="notEqual">
      <formula>1</formula>
    </cfRule>
  </conditionalFormatting>
  <conditionalFormatting sqref="BM27:BM38">
    <cfRule type="cellIs" dxfId="21" priority="22" operator="notEqual">
      <formula>1</formula>
    </cfRule>
  </conditionalFormatting>
  <conditionalFormatting sqref="BM25:BM38">
    <cfRule type="cellIs" dxfId="20" priority="21" operator="notEqual">
      <formula>1</formula>
    </cfRule>
  </conditionalFormatting>
  <conditionalFormatting sqref="AV25">
    <cfRule type="cellIs" dxfId="19" priority="20" operator="notEqual">
      <formula>1</formula>
    </cfRule>
  </conditionalFormatting>
  <conditionalFormatting sqref="AV26">
    <cfRule type="cellIs" dxfId="18" priority="19" operator="notEqual">
      <formula>1</formula>
    </cfRule>
  </conditionalFormatting>
  <conditionalFormatting sqref="AV27:AV38">
    <cfRule type="cellIs" dxfId="17" priority="18" operator="notEqual">
      <formula>1</formula>
    </cfRule>
  </conditionalFormatting>
  <conditionalFormatting sqref="AV25:AV38">
    <cfRule type="cellIs" dxfId="16" priority="17" operator="notEqual">
      <formula>1</formula>
    </cfRule>
  </conditionalFormatting>
  <conditionalFormatting sqref="AE25">
    <cfRule type="cellIs" dxfId="15" priority="16" operator="notEqual">
      <formula>1</formula>
    </cfRule>
  </conditionalFormatting>
  <conditionalFormatting sqref="AE26">
    <cfRule type="cellIs" dxfId="14" priority="15" operator="notEqual">
      <formula>1</formula>
    </cfRule>
  </conditionalFormatting>
  <conditionalFormatting sqref="AE27:AE38">
    <cfRule type="cellIs" dxfId="13" priority="14" operator="notEqual">
      <formula>1</formula>
    </cfRule>
  </conditionalFormatting>
  <conditionalFormatting sqref="AE25:AE38">
    <cfRule type="cellIs" dxfId="12" priority="13" operator="notEqual">
      <formula>1</formula>
    </cfRule>
  </conditionalFormatting>
  <conditionalFormatting sqref="N25">
    <cfRule type="cellIs" dxfId="11" priority="12" operator="notEqual">
      <formula>1</formula>
    </cfRule>
  </conditionalFormatting>
  <conditionalFormatting sqref="N26">
    <cfRule type="cellIs" dxfId="10" priority="11" operator="notEqual">
      <formula>1</formula>
    </cfRule>
  </conditionalFormatting>
  <conditionalFormatting sqref="N27:N38">
    <cfRule type="cellIs" dxfId="9" priority="10" operator="notEqual">
      <formula>1</formula>
    </cfRule>
  </conditionalFormatting>
  <conditionalFormatting sqref="N25:N38">
    <cfRule type="cellIs" dxfId="8" priority="9" operator="notEqual">
      <formula>1</formula>
    </cfRule>
  </conditionalFormatting>
  <conditionalFormatting sqref="N7:N256">
    <cfRule type="cellIs" dxfId="7" priority="8" operator="notEqual">
      <formula>1</formula>
    </cfRule>
  </conditionalFormatting>
  <conditionalFormatting sqref="AE7:AE108 AE110:AE142 AE144:AE253">
    <cfRule type="cellIs" dxfId="6" priority="7" operator="notEqual">
      <formula>1</formula>
    </cfRule>
  </conditionalFormatting>
  <conditionalFormatting sqref="AV7:AV253">
    <cfRule type="cellIs" dxfId="5" priority="6" operator="notEqual">
      <formula>1</formula>
    </cfRule>
  </conditionalFormatting>
  <conditionalFormatting sqref="BM7:BM253">
    <cfRule type="cellIs" dxfId="4" priority="5" operator="notEqual">
      <formula>1</formula>
    </cfRule>
  </conditionalFormatting>
  <conditionalFormatting sqref="CD7:CD253">
    <cfRule type="cellIs" dxfId="3" priority="4" operator="notEqual">
      <formula>1</formula>
    </cfRule>
  </conditionalFormatting>
  <conditionalFormatting sqref="AE109">
    <cfRule type="cellIs" dxfId="2" priority="3" operator="notEqual">
      <formula>1</formula>
    </cfRule>
  </conditionalFormatting>
  <conditionalFormatting sqref="AE143">
    <cfRule type="cellIs" dxfId="1" priority="2" operator="notEqual">
      <formula>1</formula>
    </cfRule>
  </conditionalFormatting>
  <dataValidations count="2">
    <dataValidation type="list" allowBlank="1" showInputMessage="1" showErrorMessage="1" sqref="P5:R5 T5:U5 AG5:AI5 AK5:AL5 AX5:AZ5 BB5:BC5 BO5:BQ5 BS5:BT5 CF5:CH5 CJ5:CK5" xr:uid="{00000000-0002-0000-0000-000000000000}">
      <formula1>"1,2,3,4,5,Indiv"</formula1>
    </dataValidation>
    <dataValidation type="list" allowBlank="1" showInputMessage="1" showErrorMessage="1" sqref="S5 AJ5 BA5 BR5 CI5" xr:uid="{00000000-0002-0000-0000-000001000000}">
      <formula1>"1,2,3,4,5,6,Indiv"</formula1>
    </dataValidation>
  </dataValidations>
  <pageMargins left="0.23622047244094491" right="0.43307086614173229" top="0.19685039370078741" bottom="0.15748031496062992" header="0.15748031496062992" footer="0.19685039370078741"/>
  <pageSetup paperSize="8" scale="43" fitToWidth="0" fitToHeight="0" orientation="landscape" r:id="rId1"/>
  <headerFooter alignWithMargins="0">
    <oddFooter>&amp;L(verze 2016-01)</oddFooter>
  </headerFooter>
  <rowBreaks count="2" manualBreakCount="2">
    <brk id="129" max="95" man="1"/>
    <brk id="242" max="95" man="1"/>
  </rowBreaks>
  <colBreaks count="1" manualBreakCount="1">
    <brk id="40" min="1" max="287" man="1"/>
  </colBreaks>
  <ignoredErrors>
    <ignoredError sqref="M244:M246 M200:M202 M166:M169 M152:M155 M112:M117 M171:M172 M250:M253 M68:M71 M77 M80:M81 M84:M88 M90:M96 M100:M101 M131:M134 M139:M140 M144:M149 M136:M137 M103:M110 M66 M72:M75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/>
  <dimension ref="A2:B19"/>
  <sheetViews>
    <sheetView workbookViewId="0">
      <selection activeCell="A19" sqref="A19:B19"/>
    </sheetView>
  </sheetViews>
  <sheetFormatPr defaultRowHeight="12.75" x14ac:dyDescent="0.2"/>
  <cols>
    <col min="1" max="1" width="10.140625" bestFit="1" customWidth="1"/>
    <col min="2" max="2" width="110.28515625" bestFit="1" customWidth="1"/>
  </cols>
  <sheetData>
    <row r="2" spans="1:2" x14ac:dyDescent="0.2">
      <c r="B2" t="s">
        <v>566</v>
      </c>
    </row>
    <row r="3" spans="1:2" x14ac:dyDescent="0.2">
      <c r="B3" t="s">
        <v>567</v>
      </c>
    </row>
    <row r="4" spans="1:2" x14ac:dyDescent="0.2">
      <c r="B4" t="s">
        <v>568</v>
      </c>
    </row>
    <row r="5" spans="1:2" x14ac:dyDescent="0.2">
      <c r="B5" t="s">
        <v>572</v>
      </c>
    </row>
    <row r="6" spans="1:2" x14ac:dyDescent="0.2">
      <c r="B6" t="s">
        <v>569</v>
      </c>
    </row>
    <row r="7" spans="1:2" x14ac:dyDescent="0.2">
      <c r="B7" t="s">
        <v>570</v>
      </c>
    </row>
    <row r="8" spans="1:2" x14ac:dyDescent="0.2">
      <c r="B8" t="s">
        <v>571</v>
      </c>
    </row>
    <row r="10" spans="1:2" x14ac:dyDescent="0.2">
      <c r="A10" s="336">
        <v>43705</v>
      </c>
      <c r="B10" t="s">
        <v>573</v>
      </c>
    </row>
    <row r="11" spans="1:2" x14ac:dyDescent="0.2">
      <c r="B11" t="s">
        <v>574</v>
      </c>
    </row>
    <row r="12" spans="1:2" x14ac:dyDescent="0.2">
      <c r="B12" t="s">
        <v>608</v>
      </c>
    </row>
    <row r="14" spans="1:2" x14ac:dyDescent="0.2">
      <c r="A14" s="336">
        <v>43833</v>
      </c>
      <c r="B14" t="s">
        <v>609</v>
      </c>
    </row>
    <row r="16" spans="1:2" x14ac:dyDescent="0.2">
      <c r="A16" s="336">
        <v>43923</v>
      </c>
      <c r="B16" t="s">
        <v>611</v>
      </c>
    </row>
    <row r="17" spans="1:2" x14ac:dyDescent="0.2">
      <c r="B17" t="s">
        <v>612</v>
      </c>
    </row>
    <row r="19" spans="1:2" x14ac:dyDescent="0.2">
      <c r="A19" s="336">
        <v>43951</v>
      </c>
      <c r="B19" t="s">
        <v>614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5"/>
  <dimension ref="B1:Z113"/>
  <sheetViews>
    <sheetView topLeftCell="A70" workbookViewId="0">
      <selection activeCell="B13" sqref="B13"/>
    </sheetView>
  </sheetViews>
  <sheetFormatPr defaultRowHeight="12.75" x14ac:dyDescent="0.2"/>
  <cols>
    <col min="3" max="3" width="29.7109375" bestFit="1" customWidth="1"/>
    <col min="12" max="26" width="3" bestFit="1" customWidth="1"/>
  </cols>
  <sheetData>
    <row r="1" spans="2:26" ht="15.75" x14ac:dyDescent="0.2">
      <c r="B1" s="451" t="s">
        <v>602</v>
      </c>
      <c r="C1" s="452"/>
      <c r="D1" s="452"/>
      <c r="E1" s="452"/>
      <c r="F1" s="452"/>
      <c r="G1" s="452"/>
      <c r="H1" s="453"/>
      <c r="K1" s="349"/>
      <c r="L1" s="350" t="s">
        <v>577</v>
      </c>
      <c r="M1" s="350" t="s">
        <v>578</v>
      </c>
      <c r="N1" s="350" t="s">
        <v>579</v>
      </c>
      <c r="O1" s="350" t="s">
        <v>580</v>
      </c>
      <c r="P1" s="350" t="s">
        <v>581</v>
      </c>
      <c r="Q1" s="350" t="s">
        <v>582</v>
      </c>
      <c r="R1" s="350" t="s">
        <v>583</v>
      </c>
      <c r="S1" s="350" t="s">
        <v>584</v>
      </c>
      <c r="T1" s="350" t="s">
        <v>585</v>
      </c>
      <c r="U1" s="350" t="s">
        <v>586</v>
      </c>
      <c r="V1" s="350" t="s">
        <v>330</v>
      </c>
      <c r="W1" s="350" t="s">
        <v>587</v>
      </c>
      <c r="X1" s="350" t="s">
        <v>588</v>
      </c>
      <c r="Y1" s="350" t="s">
        <v>589</v>
      </c>
      <c r="Z1" s="351" t="s">
        <v>590</v>
      </c>
    </row>
    <row r="2" spans="2:26" ht="15.75" customHeight="1" x14ac:dyDescent="0.2">
      <c r="B2" s="454"/>
      <c r="C2" s="455"/>
      <c r="D2" s="458" t="s">
        <v>576</v>
      </c>
      <c r="E2" s="459"/>
      <c r="F2" s="459"/>
      <c r="G2" s="459"/>
      <c r="H2" s="460"/>
      <c r="K2" s="347">
        <v>1</v>
      </c>
      <c r="L2" s="352">
        <v>10</v>
      </c>
      <c r="M2" s="352">
        <v>10</v>
      </c>
      <c r="N2" s="352">
        <v>13</v>
      </c>
      <c r="O2" s="352">
        <v>10</v>
      </c>
      <c r="P2" s="352">
        <v>13</v>
      </c>
      <c r="Q2" s="352">
        <v>13</v>
      </c>
      <c r="R2" s="352">
        <v>13</v>
      </c>
      <c r="S2" s="352">
        <v>18</v>
      </c>
      <c r="T2" s="352">
        <v>10</v>
      </c>
      <c r="U2" s="352">
        <v>21</v>
      </c>
      <c r="V2" s="352">
        <v>14</v>
      </c>
      <c r="W2" s="352">
        <v>10</v>
      </c>
      <c r="X2" s="352">
        <v>10</v>
      </c>
      <c r="Y2" s="352">
        <v>13</v>
      </c>
      <c r="Z2" s="353">
        <v>13</v>
      </c>
    </row>
    <row r="3" spans="2:26" ht="15.75" customHeight="1" x14ac:dyDescent="0.2">
      <c r="B3" s="456"/>
      <c r="C3" s="457"/>
      <c r="D3" s="343">
        <v>1</v>
      </c>
      <c r="E3" s="343">
        <v>2</v>
      </c>
      <c r="F3" s="343">
        <v>3</v>
      </c>
      <c r="G3" s="343">
        <v>4</v>
      </c>
      <c r="H3" s="344">
        <v>5</v>
      </c>
      <c r="K3" s="347">
        <v>2</v>
      </c>
      <c r="L3" s="352">
        <v>8</v>
      </c>
      <c r="M3" s="352">
        <v>8</v>
      </c>
      <c r="N3" s="352">
        <v>10</v>
      </c>
      <c r="O3" s="352">
        <v>8</v>
      </c>
      <c r="P3" s="352">
        <v>10</v>
      </c>
      <c r="Q3" s="352">
        <v>10</v>
      </c>
      <c r="R3" s="352">
        <v>10</v>
      </c>
      <c r="S3" s="352">
        <v>13</v>
      </c>
      <c r="T3" s="352">
        <v>8</v>
      </c>
      <c r="U3" s="352">
        <v>18</v>
      </c>
      <c r="V3" s="352">
        <v>11</v>
      </c>
      <c r="W3" s="352">
        <v>8</v>
      </c>
      <c r="X3" s="352">
        <v>8</v>
      </c>
      <c r="Y3" s="352">
        <v>10</v>
      </c>
      <c r="Z3" s="353">
        <v>10</v>
      </c>
    </row>
    <row r="4" spans="2:26" x14ac:dyDescent="0.2">
      <c r="B4" s="337" t="s">
        <v>577</v>
      </c>
      <c r="C4" s="338" t="s">
        <v>403</v>
      </c>
      <c r="D4" s="338">
        <v>10</v>
      </c>
      <c r="E4" s="338">
        <v>8</v>
      </c>
      <c r="F4" s="338">
        <v>6</v>
      </c>
      <c r="G4" s="338">
        <v>3</v>
      </c>
      <c r="H4" s="339">
        <v>0</v>
      </c>
      <c r="K4" s="347">
        <v>3</v>
      </c>
      <c r="L4" s="352">
        <v>6</v>
      </c>
      <c r="M4" s="352">
        <v>6</v>
      </c>
      <c r="N4" s="352">
        <v>6</v>
      </c>
      <c r="O4" s="352">
        <v>6</v>
      </c>
      <c r="P4" s="352">
        <v>6</v>
      </c>
      <c r="Q4" s="352">
        <v>6</v>
      </c>
      <c r="R4" s="352">
        <v>6</v>
      </c>
      <c r="S4" s="352">
        <v>8</v>
      </c>
      <c r="T4" s="352">
        <v>6</v>
      </c>
      <c r="U4" s="352">
        <v>14</v>
      </c>
      <c r="V4" s="352">
        <v>7</v>
      </c>
      <c r="W4" s="352">
        <v>6</v>
      </c>
      <c r="X4" s="352">
        <v>6</v>
      </c>
      <c r="Y4" s="352">
        <v>6</v>
      </c>
      <c r="Z4" s="353">
        <v>6</v>
      </c>
    </row>
    <row r="5" spans="2:26" x14ac:dyDescent="0.2">
      <c r="B5" s="337" t="s">
        <v>578</v>
      </c>
      <c r="C5" s="338" t="s">
        <v>404</v>
      </c>
      <c r="D5" s="338">
        <v>10</v>
      </c>
      <c r="E5" s="338">
        <v>8</v>
      </c>
      <c r="F5" s="338">
        <v>6</v>
      </c>
      <c r="G5" s="338">
        <v>3</v>
      </c>
      <c r="H5" s="339">
        <v>0</v>
      </c>
      <c r="K5" s="347">
        <v>4</v>
      </c>
      <c r="L5" s="352">
        <v>3</v>
      </c>
      <c r="M5" s="352">
        <v>3</v>
      </c>
      <c r="N5" s="352">
        <v>3</v>
      </c>
      <c r="O5" s="352">
        <v>3</v>
      </c>
      <c r="P5" s="352">
        <v>3</v>
      </c>
      <c r="Q5" s="352">
        <v>3</v>
      </c>
      <c r="R5" s="352">
        <v>3</v>
      </c>
      <c r="S5" s="352">
        <v>3</v>
      </c>
      <c r="T5" s="352">
        <v>3</v>
      </c>
      <c r="U5" s="352">
        <v>7</v>
      </c>
      <c r="V5" s="352">
        <v>2</v>
      </c>
      <c r="W5" s="352">
        <v>3</v>
      </c>
      <c r="X5" s="352">
        <v>3</v>
      </c>
      <c r="Y5" s="352">
        <v>3</v>
      </c>
      <c r="Z5" s="353">
        <v>3</v>
      </c>
    </row>
    <row r="6" spans="2:26" ht="13.5" thickBot="1" x14ac:dyDescent="0.25">
      <c r="B6" s="337" t="s">
        <v>579</v>
      </c>
      <c r="C6" s="338" t="s">
        <v>591</v>
      </c>
      <c r="D6" s="338">
        <v>13</v>
      </c>
      <c r="E6" s="338">
        <v>10</v>
      </c>
      <c r="F6" s="338">
        <v>6</v>
      </c>
      <c r="G6" s="338">
        <v>3</v>
      </c>
      <c r="H6" s="339">
        <v>0</v>
      </c>
      <c r="K6" s="348">
        <v>5</v>
      </c>
      <c r="L6" s="354">
        <v>0</v>
      </c>
      <c r="M6" s="354">
        <v>0</v>
      </c>
      <c r="N6" s="354">
        <v>0</v>
      </c>
      <c r="O6" s="354">
        <v>0</v>
      </c>
      <c r="P6" s="354">
        <v>0</v>
      </c>
      <c r="Q6" s="354">
        <v>0</v>
      </c>
      <c r="R6" s="354">
        <v>0</v>
      </c>
      <c r="S6" s="354">
        <v>0</v>
      </c>
      <c r="T6" s="354">
        <v>0</v>
      </c>
      <c r="U6" s="354">
        <v>0</v>
      </c>
      <c r="V6" s="354">
        <v>0</v>
      </c>
      <c r="W6" s="354">
        <v>0</v>
      </c>
      <c r="X6" s="354">
        <v>0</v>
      </c>
      <c r="Y6" s="354">
        <v>0</v>
      </c>
      <c r="Z6" s="355">
        <v>0</v>
      </c>
    </row>
    <row r="7" spans="2:26" x14ac:dyDescent="0.2">
      <c r="B7" s="337" t="s">
        <v>580</v>
      </c>
      <c r="C7" s="338" t="s">
        <v>406</v>
      </c>
      <c r="D7" s="338">
        <v>10</v>
      </c>
      <c r="E7" s="338">
        <v>8</v>
      </c>
      <c r="F7" s="338">
        <v>6</v>
      </c>
      <c r="G7" s="338">
        <v>3</v>
      </c>
      <c r="H7" s="339">
        <v>0</v>
      </c>
    </row>
    <row r="8" spans="2:26" x14ac:dyDescent="0.2">
      <c r="B8" s="337" t="s">
        <v>581</v>
      </c>
      <c r="C8" s="338" t="s">
        <v>592</v>
      </c>
      <c r="D8" s="338">
        <v>13</v>
      </c>
      <c r="E8" s="338">
        <v>10</v>
      </c>
      <c r="F8" s="338">
        <v>6</v>
      </c>
      <c r="G8" s="338">
        <v>3</v>
      </c>
      <c r="H8" s="339">
        <v>0</v>
      </c>
    </row>
    <row r="9" spans="2:26" x14ac:dyDescent="0.2">
      <c r="B9" s="337" t="s">
        <v>582</v>
      </c>
      <c r="C9" s="338" t="s">
        <v>593</v>
      </c>
      <c r="D9" s="338">
        <v>13</v>
      </c>
      <c r="E9" s="338">
        <v>10</v>
      </c>
      <c r="F9" s="338">
        <v>6</v>
      </c>
      <c r="G9" s="338">
        <v>3</v>
      </c>
      <c r="H9" s="339">
        <v>0</v>
      </c>
    </row>
    <row r="10" spans="2:26" x14ac:dyDescent="0.2">
      <c r="B10" s="337" t="s">
        <v>583</v>
      </c>
      <c r="C10" s="338" t="s">
        <v>594</v>
      </c>
      <c r="D10" s="338">
        <v>13</v>
      </c>
      <c r="E10" s="338">
        <v>10</v>
      </c>
      <c r="F10" s="338">
        <v>6</v>
      </c>
      <c r="G10" s="338">
        <v>3</v>
      </c>
      <c r="H10" s="339">
        <v>0</v>
      </c>
    </row>
    <row r="11" spans="2:26" x14ac:dyDescent="0.2">
      <c r="B11" s="337" t="s">
        <v>584</v>
      </c>
      <c r="C11" s="338" t="s">
        <v>595</v>
      </c>
      <c r="D11" s="338">
        <v>18</v>
      </c>
      <c r="E11" s="338">
        <v>13</v>
      </c>
      <c r="F11" s="338">
        <v>8</v>
      </c>
      <c r="G11" s="338">
        <v>3</v>
      </c>
      <c r="H11" s="339">
        <v>0</v>
      </c>
    </row>
    <row r="12" spans="2:26" x14ac:dyDescent="0.2">
      <c r="B12" s="337" t="s">
        <v>585</v>
      </c>
      <c r="C12" s="338" t="s">
        <v>596</v>
      </c>
      <c r="D12" s="338">
        <v>10</v>
      </c>
      <c r="E12" s="338">
        <v>8</v>
      </c>
      <c r="F12" s="338">
        <v>6</v>
      </c>
      <c r="G12" s="338">
        <v>3</v>
      </c>
      <c r="H12" s="339">
        <v>0</v>
      </c>
    </row>
    <row r="13" spans="2:26" x14ac:dyDescent="0.2">
      <c r="B13" s="337" t="s">
        <v>586</v>
      </c>
      <c r="C13" s="338" t="s">
        <v>597</v>
      </c>
      <c r="D13" s="338">
        <v>21</v>
      </c>
      <c r="E13" s="338">
        <v>18</v>
      </c>
      <c r="F13" s="338">
        <v>14</v>
      </c>
      <c r="G13" s="338">
        <v>7</v>
      </c>
      <c r="H13" s="339">
        <v>0</v>
      </c>
    </row>
    <row r="14" spans="2:26" x14ac:dyDescent="0.2">
      <c r="B14" s="337" t="s">
        <v>330</v>
      </c>
      <c r="C14" s="338" t="s">
        <v>598</v>
      </c>
      <c r="D14" s="338">
        <v>14</v>
      </c>
      <c r="E14" s="338">
        <v>11</v>
      </c>
      <c r="F14" s="338">
        <v>7</v>
      </c>
      <c r="G14" s="338">
        <v>2</v>
      </c>
      <c r="H14" s="339">
        <v>0</v>
      </c>
    </row>
    <row r="15" spans="2:26" x14ac:dyDescent="0.2">
      <c r="B15" s="337" t="s">
        <v>587</v>
      </c>
      <c r="C15" s="338" t="s">
        <v>599</v>
      </c>
      <c r="D15" s="338">
        <v>10</v>
      </c>
      <c r="E15" s="338">
        <v>8</v>
      </c>
      <c r="F15" s="338">
        <v>6</v>
      </c>
      <c r="G15" s="338">
        <v>3</v>
      </c>
      <c r="H15" s="339">
        <v>0</v>
      </c>
    </row>
    <row r="16" spans="2:26" x14ac:dyDescent="0.2">
      <c r="B16" s="337" t="s">
        <v>588</v>
      </c>
      <c r="C16" s="338" t="s">
        <v>408</v>
      </c>
      <c r="D16" s="338">
        <v>10</v>
      </c>
      <c r="E16" s="338">
        <v>8</v>
      </c>
      <c r="F16" s="338">
        <v>6</v>
      </c>
      <c r="G16" s="338">
        <v>3</v>
      </c>
      <c r="H16" s="339">
        <v>0</v>
      </c>
    </row>
    <row r="17" spans="2:26" x14ac:dyDescent="0.2">
      <c r="B17" s="337" t="s">
        <v>589</v>
      </c>
      <c r="C17" s="338" t="s">
        <v>600</v>
      </c>
      <c r="D17" s="338">
        <v>13</v>
      </c>
      <c r="E17" s="338">
        <v>10</v>
      </c>
      <c r="F17" s="338">
        <v>6</v>
      </c>
      <c r="G17" s="338">
        <v>3</v>
      </c>
      <c r="H17" s="339">
        <v>0</v>
      </c>
    </row>
    <row r="18" spans="2:26" ht="13.5" thickBot="1" x14ac:dyDescent="0.25">
      <c r="B18" s="340" t="s">
        <v>590</v>
      </c>
      <c r="C18" s="341" t="s">
        <v>601</v>
      </c>
      <c r="D18" s="341">
        <v>13</v>
      </c>
      <c r="E18" s="341">
        <v>10</v>
      </c>
      <c r="F18" s="341">
        <v>6</v>
      </c>
      <c r="G18" s="341">
        <v>3</v>
      </c>
      <c r="H18" s="342">
        <v>0</v>
      </c>
    </row>
    <row r="19" spans="2:26" ht="13.5" thickBot="1" x14ac:dyDescent="0.25"/>
    <row r="20" spans="2:26" ht="15.75" x14ac:dyDescent="0.2">
      <c r="B20" s="451" t="s">
        <v>603</v>
      </c>
      <c r="C20" s="452"/>
      <c r="D20" s="452"/>
      <c r="E20" s="452"/>
      <c r="F20" s="452"/>
      <c r="G20" s="452"/>
      <c r="H20" s="453"/>
      <c r="K20" s="349"/>
      <c r="L20" s="350" t="s">
        <v>577</v>
      </c>
      <c r="M20" s="350" t="s">
        <v>578</v>
      </c>
      <c r="N20" s="350" t="s">
        <v>579</v>
      </c>
      <c r="O20" s="350" t="s">
        <v>580</v>
      </c>
      <c r="P20" s="350" t="s">
        <v>581</v>
      </c>
      <c r="Q20" s="350" t="s">
        <v>582</v>
      </c>
      <c r="R20" s="350" t="s">
        <v>583</v>
      </c>
      <c r="S20" s="350" t="s">
        <v>584</v>
      </c>
      <c r="T20" s="350" t="s">
        <v>585</v>
      </c>
      <c r="U20" s="350" t="s">
        <v>586</v>
      </c>
      <c r="V20" s="350" t="s">
        <v>330</v>
      </c>
      <c r="W20" s="350" t="s">
        <v>587</v>
      </c>
      <c r="X20" s="350" t="s">
        <v>588</v>
      </c>
      <c r="Y20" s="350" t="s">
        <v>589</v>
      </c>
      <c r="Z20" s="351" t="s">
        <v>590</v>
      </c>
    </row>
    <row r="21" spans="2:26" x14ac:dyDescent="0.2">
      <c r="B21" s="454"/>
      <c r="C21" s="455"/>
      <c r="D21" s="458" t="s">
        <v>576</v>
      </c>
      <c r="E21" s="459"/>
      <c r="F21" s="459"/>
      <c r="G21" s="459"/>
      <c r="H21" s="460"/>
      <c r="K21" s="347">
        <v>1</v>
      </c>
      <c r="L21" s="352">
        <v>17</v>
      </c>
      <c r="M21" s="352">
        <v>17</v>
      </c>
      <c r="N21" s="352">
        <v>13</v>
      </c>
      <c r="O21" s="352">
        <v>13</v>
      </c>
      <c r="P21" s="352">
        <v>7</v>
      </c>
      <c r="Q21" s="352">
        <v>7</v>
      </c>
      <c r="R21" s="352">
        <v>7</v>
      </c>
      <c r="S21" s="352">
        <v>9</v>
      </c>
      <c r="T21" s="352">
        <v>9</v>
      </c>
      <c r="U21" s="352">
        <v>9</v>
      </c>
      <c r="V21" s="352">
        <v>4</v>
      </c>
      <c r="W21" s="352">
        <v>4</v>
      </c>
      <c r="X21" s="352">
        <v>4</v>
      </c>
      <c r="Y21" s="352">
        <v>13</v>
      </c>
      <c r="Z21" s="353">
        <v>13</v>
      </c>
    </row>
    <row r="22" spans="2:26" x14ac:dyDescent="0.2">
      <c r="B22" s="456"/>
      <c r="C22" s="457"/>
      <c r="D22" s="343">
        <v>1</v>
      </c>
      <c r="E22" s="343">
        <v>2</v>
      </c>
      <c r="F22" s="343">
        <v>3</v>
      </c>
      <c r="G22" s="343">
        <v>4</v>
      </c>
      <c r="H22" s="344">
        <v>5</v>
      </c>
      <c r="K22" s="347">
        <v>2</v>
      </c>
      <c r="L22" s="352">
        <v>12</v>
      </c>
      <c r="M22" s="352">
        <v>12</v>
      </c>
      <c r="N22" s="352">
        <v>8</v>
      </c>
      <c r="O22" s="352">
        <v>8</v>
      </c>
      <c r="P22" s="352">
        <v>4</v>
      </c>
      <c r="Q22" s="352">
        <v>4</v>
      </c>
      <c r="R22" s="352">
        <v>4</v>
      </c>
      <c r="S22" s="352">
        <v>7</v>
      </c>
      <c r="T22" s="352">
        <v>7</v>
      </c>
      <c r="U22" s="352">
        <v>7</v>
      </c>
      <c r="V22" s="352">
        <v>4</v>
      </c>
      <c r="W22" s="352">
        <v>4</v>
      </c>
      <c r="X22" s="352">
        <v>4</v>
      </c>
      <c r="Y22" s="352">
        <v>8</v>
      </c>
      <c r="Z22" s="353">
        <v>8</v>
      </c>
    </row>
    <row r="23" spans="2:26" x14ac:dyDescent="0.2">
      <c r="B23" s="337" t="s">
        <v>577</v>
      </c>
      <c r="C23" s="338" t="s">
        <v>403</v>
      </c>
      <c r="D23" s="338">
        <v>17</v>
      </c>
      <c r="E23" s="338">
        <v>12</v>
      </c>
      <c r="F23" s="338">
        <v>7</v>
      </c>
      <c r="G23" s="338">
        <v>2</v>
      </c>
      <c r="H23" s="339">
        <v>0</v>
      </c>
      <c r="K23" s="347">
        <v>3</v>
      </c>
      <c r="L23" s="352">
        <v>7</v>
      </c>
      <c r="M23" s="352">
        <v>7</v>
      </c>
      <c r="N23" s="352">
        <v>6</v>
      </c>
      <c r="O23" s="352">
        <v>6</v>
      </c>
      <c r="P23" s="352">
        <v>4</v>
      </c>
      <c r="Q23" s="352">
        <v>4</v>
      </c>
      <c r="R23" s="352">
        <v>4</v>
      </c>
      <c r="S23" s="352">
        <v>4</v>
      </c>
      <c r="T23" s="352">
        <v>4</v>
      </c>
      <c r="U23" s="352">
        <v>4</v>
      </c>
      <c r="V23" s="352">
        <v>4</v>
      </c>
      <c r="W23" s="352">
        <v>4</v>
      </c>
      <c r="X23" s="352">
        <v>4</v>
      </c>
      <c r="Y23" s="352">
        <v>6</v>
      </c>
      <c r="Z23" s="353">
        <v>6</v>
      </c>
    </row>
    <row r="24" spans="2:26" x14ac:dyDescent="0.2">
      <c r="B24" s="337" t="s">
        <v>578</v>
      </c>
      <c r="C24" s="338" t="s">
        <v>404</v>
      </c>
      <c r="D24" s="338">
        <v>17</v>
      </c>
      <c r="E24" s="338">
        <v>12</v>
      </c>
      <c r="F24" s="338">
        <v>7</v>
      </c>
      <c r="G24" s="338">
        <v>2</v>
      </c>
      <c r="H24" s="339">
        <v>0</v>
      </c>
      <c r="K24" s="347">
        <v>4</v>
      </c>
      <c r="L24" s="352">
        <v>2</v>
      </c>
      <c r="M24" s="352">
        <v>2</v>
      </c>
      <c r="N24" s="352">
        <v>3</v>
      </c>
      <c r="O24" s="352">
        <v>3</v>
      </c>
      <c r="P24" s="352">
        <v>2</v>
      </c>
      <c r="Q24" s="352">
        <v>2</v>
      </c>
      <c r="R24" s="352">
        <v>2</v>
      </c>
      <c r="S24" s="352">
        <v>2</v>
      </c>
      <c r="T24" s="352">
        <v>2</v>
      </c>
      <c r="U24" s="352">
        <v>2</v>
      </c>
      <c r="V24" s="352">
        <v>2</v>
      </c>
      <c r="W24" s="352">
        <v>2</v>
      </c>
      <c r="X24" s="352">
        <v>2</v>
      </c>
      <c r="Y24" s="352">
        <v>3</v>
      </c>
      <c r="Z24" s="353">
        <v>3</v>
      </c>
    </row>
    <row r="25" spans="2:26" ht="13.5" thickBot="1" x14ac:dyDescent="0.25">
      <c r="B25" s="337" t="s">
        <v>579</v>
      </c>
      <c r="C25" s="338" t="s">
        <v>591</v>
      </c>
      <c r="D25" s="338">
        <v>13</v>
      </c>
      <c r="E25" s="338">
        <v>8</v>
      </c>
      <c r="F25" s="338">
        <v>6</v>
      </c>
      <c r="G25" s="338">
        <v>3</v>
      </c>
      <c r="H25" s="339">
        <v>0</v>
      </c>
      <c r="K25" s="348">
        <v>5</v>
      </c>
      <c r="L25" s="354">
        <v>0</v>
      </c>
      <c r="M25" s="354">
        <v>0</v>
      </c>
      <c r="N25" s="354">
        <v>0</v>
      </c>
      <c r="O25" s="354">
        <v>0</v>
      </c>
      <c r="P25" s="354">
        <v>0</v>
      </c>
      <c r="Q25" s="354">
        <v>0</v>
      </c>
      <c r="R25" s="354">
        <v>0</v>
      </c>
      <c r="S25" s="354">
        <v>0</v>
      </c>
      <c r="T25" s="354">
        <v>0</v>
      </c>
      <c r="U25" s="354">
        <v>0</v>
      </c>
      <c r="V25" s="354">
        <v>0</v>
      </c>
      <c r="W25" s="354">
        <v>0</v>
      </c>
      <c r="X25" s="354">
        <v>0</v>
      </c>
      <c r="Y25" s="354">
        <v>0</v>
      </c>
      <c r="Z25" s="355">
        <v>0</v>
      </c>
    </row>
    <row r="26" spans="2:26" x14ac:dyDescent="0.2">
      <c r="B26" s="337" t="s">
        <v>580</v>
      </c>
      <c r="C26" s="338" t="s">
        <v>406</v>
      </c>
      <c r="D26" s="338">
        <v>13</v>
      </c>
      <c r="E26" s="338">
        <v>8</v>
      </c>
      <c r="F26" s="338">
        <v>6</v>
      </c>
      <c r="G26" s="338">
        <v>3</v>
      </c>
      <c r="H26" s="339">
        <v>0</v>
      </c>
    </row>
    <row r="27" spans="2:26" x14ac:dyDescent="0.2">
      <c r="B27" s="337" t="s">
        <v>581</v>
      </c>
      <c r="C27" s="338" t="s">
        <v>592</v>
      </c>
      <c r="D27" s="338">
        <v>7</v>
      </c>
      <c r="E27" s="338">
        <v>4</v>
      </c>
      <c r="F27" s="338">
        <v>4</v>
      </c>
      <c r="G27" s="338">
        <v>2</v>
      </c>
      <c r="H27" s="339">
        <v>0</v>
      </c>
    </row>
    <row r="28" spans="2:26" x14ac:dyDescent="0.2">
      <c r="B28" s="337" t="s">
        <v>582</v>
      </c>
      <c r="C28" s="338" t="s">
        <v>593</v>
      </c>
      <c r="D28" s="338">
        <v>7</v>
      </c>
      <c r="E28" s="338">
        <v>4</v>
      </c>
      <c r="F28" s="338">
        <v>4</v>
      </c>
      <c r="G28" s="338">
        <v>2</v>
      </c>
      <c r="H28" s="339">
        <v>0</v>
      </c>
    </row>
    <row r="29" spans="2:26" x14ac:dyDescent="0.2">
      <c r="B29" s="337" t="s">
        <v>583</v>
      </c>
      <c r="C29" s="338" t="s">
        <v>594</v>
      </c>
      <c r="D29" s="338">
        <v>7</v>
      </c>
      <c r="E29" s="338">
        <v>4</v>
      </c>
      <c r="F29" s="338">
        <v>4</v>
      </c>
      <c r="G29" s="338">
        <v>2</v>
      </c>
      <c r="H29" s="339">
        <v>0</v>
      </c>
    </row>
    <row r="30" spans="2:26" x14ac:dyDescent="0.2">
      <c r="B30" s="337" t="s">
        <v>584</v>
      </c>
      <c r="C30" s="338" t="s">
        <v>595</v>
      </c>
      <c r="D30" s="338">
        <v>9</v>
      </c>
      <c r="E30" s="338">
        <v>7</v>
      </c>
      <c r="F30" s="338">
        <v>4</v>
      </c>
      <c r="G30" s="338">
        <v>2</v>
      </c>
      <c r="H30" s="339">
        <v>0</v>
      </c>
    </row>
    <row r="31" spans="2:26" x14ac:dyDescent="0.2">
      <c r="B31" s="337" t="s">
        <v>585</v>
      </c>
      <c r="C31" s="338" t="s">
        <v>596</v>
      </c>
      <c r="D31" s="338">
        <v>9</v>
      </c>
      <c r="E31" s="338">
        <v>7</v>
      </c>
      <c r="F31" s="338">
        <v>4</v>
      </c>
      <c r="G31" s="338">
        <v>2</v>
      </c>
      <c r="H31" s="339">
        <v>0</v>
      </c>
    </row>
    <row r="32" spans="2:26" x14ac:dyDescent="0.2">
      <c r="B32" s="337" t="s">
        <v>586</v>
      </c>
      <c r="C32" s="338" t="s">
        <v>597</v>
      </c>
      <c r="D32" s="338">
        <v>9</v>
      </c>
      <c r="E32" s="338">
        <v>7</v>
      </c>
      <c r="F32" s="338">
        <v>4</v>
      </c>
      <c r="G32" s="338">
        <v>2</v>
      </c>
      <c r="H32" s="339">
        <v>0</v>
      </c>
    </row>
    <row r="33" spans="2:26" x14ac:dyDescent="0.2">
      <c r="B33" s="337" t="s">
        <v>330</v>
      </c>
      <c r="C33" s="338" t="s">
        <v>598</v>
      </c>
      <c r="D33" s="338">
        <v>4</v>
      </c>
      <c r="E33" s="338">
        <v>4</v>
      </c>
      <c r="F33" s="338">
        <v>4</v>
      </c>
      <c r="G33" s="338">
        <v>2</v>
      </c>
      <c r="H33" s="339">
        <v>0</v>
      </c>
    </row>
    <row r="34" spans="2:26" x14ac:dyDescent="0.2">
      <c r="B34" s="337" t="s">
        <v>587</v>
      </c>
      <c r="C34" s="338" t="s">
        <v>599</v>
      </c>
      <c r="D34" s="338">
        <v>4</v>
      </c>
      <c r="E34" s="338">
        <v>4</v>
      </c>
      <c r="F34" s="338">
        <v>4</v>
      </c>
      <c r="G34" s="338">
        <v>2</v>
      </c>
      <c r="H34" s="339">
        <v>0</v>
      </c>
    </row>
    <row r="35" spans="2:26" x14ac:dyDescent="0.2">
      <c r="B35" s="337" t="s">
        <v>588</v>
      </c>
      <c r="C35" s="338" t="s">
        <v>408</v>
      </c>
      <c r="D35" s="338">
        <v>4</v>
      </c>
      <c r="E35" s="338">
        <v>4</v>
      </c>
      <c r="F35" s="338">
        <v>4</v>
      </c>
      <c r="G35" s="338">
        <v>2</v>
      </c>
      <c r="H35" s="339">
        <v>0</v>
      </c>
    </row>
    <row r="36" spans="2:26" x14ac:dyDescent="0.2">
      <c r="B36" s="337" t="s">
        <v>589</v>
      </c>
      <c r="C36" s="338" t="s">
        <v>600</v>
      </c>
      <c r="D36" s="338">
        <v>13</v>
      </c>
      <c r="E36" s="338">
        <v>8</v>
      </c>
      <c r="F36" s="338">
        <v>6</v>
      </c>
      <c r="G36" s="338">
        <v>3</v>
      </c>
      <c r="H36" s="339">
        <v>0</v>
      </c>
    </row>
    <row r="37" spans="2:26" ht="13.5" thickBot="1" x14ac:dyDescent="0.25">
      <c r="B37" s="340" t="s">
        <v>590</v>
      </c>
      <c r="C37" s="341" t="s">
        <v>601</v>
      </c>
      <c r="D37" s="341">
        <v>13</v>
      </c>
      <c r="E37" s="341">
        <v>8</v>
      </c>
      <c r="F37" s="341">
        <v>6</v>
      </c>
      <c r="G37" s="341">
        <v>3</v>
      </c>
      <c r="H37" s="342">
        <v>0</v>
      </c>
    </row>
    <row r="38" spans="2:26" ht="13.5" thickBot="1" x14ac:dyDescent="0.25"/>
    <row r="39" spans="2:26" ht="16.5" thickBot="1" x14ac:dyDescent="0.25">
      <c r="B39" s="451" t="s">
        <v>604</v>
      </c>
      <c r="C39" s="452"/>
      <c r="D39" s="452"/>
      <c r="E39" s="452"/>
      <c r="F39" s="452"/>
      <c r="G39" s="452"/>
      <c r="H39" s="453"/>
    </row>
    <row r="40" spans="2:26" x14ac:dyDescent="0.2">
      <c r="B40" s="454"/>
      <c r="C40" s="455"/>
      <c r="D40" s="458" t="s">
        <v>576</v>
      </c>
      <c r="E40" s="459"/>
      <c r="F40" s="459"/>
      <c r="G40" s="459"/>
      <c r="H40" s="460"/>
      <c r="K40" s="349"/>
      <c r="L40" s="350" t="s">
        <v>577</v>
      </c>
      <c r="M40" s="350" t="s">
        <v>578</v>
      </c>
      <c r="N40" s="350" t="s">
        <v>579</v>
      </c>
      <c r="O40" s="350" t="s">
        <v>580</v>
      </c>
      <c r="P40" s="350" t="s">
        <v>581</v>
      </c>
      <c r="Q40" s="350" t="s">
        <v>582</v>
      </c>
      <c r="R40" s="350" t="s">
        <v>583</v>
      </c>
      <c r="S40" s="350" t="s">
        <v>584</v>
      </c>
      <c r="T40" s="350" t="s">
        <v>585</v>
      </c>
      <c r="U40" s="350" t="s">
        <v>586</v>
      </c>
      <c r="V40" s="350" t="s">
        <v>330</v>
      </c>
      <c r="W40" s="350" t="s">
        <v>587</v>
      </c>
      <c r="X40" s="350" t="s">
        <v>588</v>
      </c>
      <c r="Y40" s="350" t="s">
        <v>589</v>
      </c>
      <c r="Z40" s="351" t="s">
        <v>590</v>
      </c>
    </row>
    <row r="41" spans="2:26" x14ac:dyDescent="0.2">
      <c r="B41" s="456"/>
      <c r="C41" s="457"/>
      <c r="D41" s="343">
        <v>1</v>
      </c>
      <c r="E41" s="343">
        <v>2</v>
      </c>
      <c r="F41" s="343">
        <v>3</v>
      </c>
      <c r="G41" s="343">
        <v>4</v>
      </c>
      <c r="H41" s="344">
        <v>5</v>
      </c>
      <c r="K41" s="347">
        <v>1</v>
      </c>
      <c r="L41" s="352">
        <v>5</v>
      </c>
      <c r="M41" s="352">
        <v>5</v>
      </c>
      <c r="N41" s="352">
        <v>13</v>
      </c>
      <c r="O41" s="352">
        <v>5</v>
      </c>
      <c r="P41" s="352">
        <v>5</v>
      </c>
      <c r="Q41" s="352">
        <v>10</v>
      </c>
      <c r="R41" s="352">
        <v>5</v>
      </c>
      <c r="S41" s="352">
        <v>10</v>
      </c>
      <c r="T41" s="352">
        <v>5</v>
      </c>
      <c r="U41" s="352">
        <v>5</v>
      </c>
      <c r="V41" s="352">
        <v>8</v>
      </c>
      <c r="W41" s="352">
        <v>5</v>
      </c>
      <c r="X41" s="352">
        <v>5</v>
      </c>
      <c r="Y41" s="352">
        <v>5</v>
      </c>
      <c r="Z41" s="353">
        <v>5</v>
      </c>
    </row>
    <row r="42" spans="2:26" x14ac:dyDescent="0.2">
      <c r="B42" s="337" t="s">
        <v>577</v>
      </c>
      <c r="C42" s="338" t="s">
        <v>403</v>
      </c>
      <c r="D42" s="338">
        <v>5</v>
      </c>
      <c r="E42" s="338">
        <v>2</v>
      </c>
      <c r="F42" s="338">
        <v>5</v>
      </c>
      <c r="G42" s="338">
        <v>2</v>
      </c>
      <c r="H42" s="339">
        <v>0</v>
      </c>
      <c r="K42" s="347">
        <v>2</v>
      </c>
      <c r="L42" s="352">
        <v>2</v>
      </c>
      <c r="M42" s="352">
        <v>2</v>
      </c>
      <c r="N42" s="352">
        <v>8</v>
      </c>
      <c r="O42" s="352">
        <v>2</v>
      </c>
      <c r="P42" s="352">
        <v>0</v>
      </c>
      <c r="Q42" s="352">
        <v>3</v>
      </c>
      <c r="R42" s="352">
        <v>2</v>
      </c>
      <c r="S42" s="352">
        <v>3</v>
      </c>
      <c r="T42" s="352">
        <v>2</v>
      </c>
      <c r="U42" s="352">
        <v>2</v>
      </c>
      <c r="V42" s="352">
        <v>3</v>
      </c>
      <c r="W42" s="352">
        <v>0</v>
      </c>
      <c r="X42" s="352">
        <v>0</v>
      </c>
      <c r="Y42" s="352">
        <v>2</v>
      </c>
      <c r="Z42" s="353">
        <v>2</v>
      </c>
    </row>
    <row r="43" spans="2:26" x14ac:dyDescent="0.2">
      <c r="B43" s="337" t="s">
        <v>578</v>
      </c>
      <c r="C43" s="338" t="s">
        <v>404</v>
      </c>
      <c r="D43" s="338">
        <v>5</v>
      </c>
      <c r="E43" s="338">
        <v>2</v>
      </c>
      <c r="F43" s="338">
        <v>5</v>
      </c>
      <c r="G43" s="338">
        <v>2</v>
      </c>
      <c r="H43" s="339">
        <v>0</v>
      </c>
      <c r="K43" s="347">
        <v>3</v>
      </c>
      <c r="L43" s="352">
        <v>5</v>
      </c>
      <c r="M43" s="352">
        <v>5</v>
      </c>
      <c r="N43" s="352">
        <v>6</v>
      </c>
      <c r="O43" s="352">
        <v>5</v>
      </c>
      <c r="P43" s="352">
        <v>5</v>
      </c>
      <c r="Q43" s="352">
        <v>10</v>
      </c>
      <c r="R43" s="352">
        <v>5</v>
      </c>
      <c r="S43" s="352">
        <v>10</v>
      </c>
      <c r="T43" s="352">
        <v>5</v>
      </c>
      <c r="U43" s="352">
        <v>5</v>
      </c>
      <c r="V43" s="352">
        <v>8</v>
      </c>
      <c r="W43" s="352">
        <v>5</v>
      </c>
      <c r="X43" s="352">
        <v>5</v>
      </c>
      <c r="Y43" s="352">
        <v>5</v>
      </c>
      <c r="Z43" s="353">
        <v>5</v>
      </c>
    </row>
    <row r="44" spans="2:26" x14ac:dyDescent="0.2">
      <c r="B44" s="337" t="s">
        <v>579</v>
      </c>
      <c r="C44" s="338" t="s">
        <v>591</v>
      </c>
      <c r="D44" s="338">
        <v>13</v>
      </c>
      <c r="E44" s="338">
        <v>8</v>
      </c>
      <c r="F44" s="338">
        <v>6</v>
      </c>
      <c r="G44" s="338">
        <v>3</v>
      </c>
      <c r="H44" s="339">
        <v>0</v>
      </c>
      <c r="K44" s="347">
        <v>4</v>
      </c>
      <c r="L44" s="352">
        <v>2</v>
      </c>
      <c r="M44" s="352">
        <v>2</v>
      </c>
      <c r="N44" s="352">
        <v>3</v>
      </c>
      <c r="O44" s="352">
        <v>2</v>
      </c>
      <c r="P44" s="352">
        <v>3</v>
      </c>
      <c r="Q44" s="352">
        <v>5</v>
      </c>
      <c r="R44" s="352">
        <v>2</v>
      </c>
      <c r="S44" s="352">
        <v>5</v>
      </c>
      <c r="T44" s="352">
        <v>2</v>
      </c>
      <c r="U44" s="352">
        <v>2</v>
      </c>
      <c r="V44" s="352">
        <v>3</v>
      </c>
      <c r="W44" s="352">
        <v>3</v>
      </c>
      <c r="X44" s="352">
        <v>3</v>
      </c>
      <c r="Y44" s="352">
        <v>2</v>
      </c>
      <c r="Z44" s="353">
        <v>2</v>
      </c>
    </row>
    <row r="45" spans="2:26" ht="13.5" thickBot="1" x14ac:dyDescent="0.25">
      <c r="B45" s="337" t="s">
        <v>580</v>
      </c>
      <c r="C45" s="338" t="s">
        <v>406</v>
      </c>
      <c r="D45" s="338">
        <v>5</v>
      </c>
      <c r="E45" s="338">
        <v>2</v>
      </c>
      <c r="F45" s="338">
        <v>5</v>
      </c>
      <c r="G45" s="338">
        <v>2</v>
      </c>
      <c r="H45" s="339">
        <v>0</v>
      </c>
      <c r="K45" s="348">
        <v>5</v>
      </c>
      <c r="L45" s="354">
        <v>0</v>
      </c>
      <c r="M45" s="354">
        <v>0</v>
      </c>
      <c r="N45" s="354">
        <v>0</v>
      </c>
      <c r="O45" s="354">
        <v>0</v>
      </c>
      <c r="P45" s="354">
        <v>0</v>
      </c>
      <c r="Q45" s="354">
        <v>0</v>
      </c>
      <c r="R45" s="354">
        <v>0</v>
      </c>
      <c r="S45" s="354">
        <v>0</v>
      </c>
      <c r="T45" s="354">
        <v>0</v>
      </c>
      <c r="U45" s="354">
        <v>0</v>
      </c>
      <c r="V45" s="354">
        <v>0</v>
      </c>
      <c r="W45" s="354">
        <v>0</v>
      </c>
      <c r="X45" s="354">
        <v>0</v>
      </c>
      <c r="Y45" s="354">
        <v>0</v>
      </c>
      <c r="Z45" s="355">
        <v>0</v>
      </c>
    </row>
    <row r="46" spans="2:26" x14ac:dyDescent="0.2">
      <c r="B46" s="337" t="s">
        <v>581</v>
      </c>
      <c r="C46" s="338" t="s">
        <v>592</v>
      </c>
      <c r="D46" s="338">
        <v>5</v>
      </c>
      <c r="E46" s="338">
        <v>0</v>
      </c>
      <c r="F46" s="338">
        <v>5</v>
      </c>
      <c r="G46" s="338">
        <v>3</v>
      </c>
      <c r="H46" s="339">
        <v>0</v>
      </c>
    </row>
    <row r="47" spans="2:26" x14ac:dyDescent="0.2">
      <c r="B47" s="337" t="s">
        <v>582</v>
      </c>
      <c r="C47" s="338" t="s">
        <v>593</v>
      </c>
      <c r="D47" s="338">
        <v>10</v>
      </c>
      <c r="E47" s="338">
        <v>3</v>
      </c>
      <c r="F47" s="338">
        <v>10</v>
      </c>
      <c r="G47" s="338">
        <v>5</v>
      </c>
      <c r="H47" s="339">
        <v>0</v>
      </c>
    </row>
    <row r="48" spans="2:26" x14ac:dyDescent="0.2">
      <c r="B48" s="337" t="s">
        <v>583</v>
      </c>
      <c r="C48" s="338" t="s">
        <v>594</v>
      </c>
      <c r="D48" s="338">
        <v>5</v>
      </c>
      <c r="E48" s="338">
        <v>2</v>
      </c>
      <c r="F48" s="338">
        <v>5</v>
      </c>
      <c r="G48" s="338">
        <v>2</v>
      </c>
      <c r="H48" s="339">
        <v>0</v>
      </c>
    </row>
    <row r="49" spans="2:26" x14ac:dyDescent="0.2">
      <c r="B49" s="337" t="s">
        <v>584</v>
      </c>
      <c r="C49" s="338" t="s">
        <v>595</v>
      </c>
      <c r="D49" s="338">
        <v>10</v>
      </c>
      <c r="E49" s="338">
        <v>3</v>
      </c>
      <c r="F49" s="338">
        <v>10</v>
      </c>
      <c r="G49" s="338">
        <v>5</v>
      </c>
      <c r="H49" s="339">
        <v>0</v>
      </c>
    </row>
    <row r="50" spans="2:26" x14ac:dyDescent="0.2">
      <c r="B50" s="337" t="s">
        <v>585</v>
      </c>
      <c r="C50" s="338" t="s">
        <v>596</v>
      </c>
      <c r="D50" s="338">
        <v>5</v>
      </c>
      <c r="E50" s="338">
        <v>2</v>
      </c>
      <c r="F50" s="338">
        <v>5</v>
      </c>
      <c r="G50" s="338">
        <v>2</v>
      </c>
      <c r="H50" s="339">
        <v>0</v>
      </c>
    </row>
    <row r="51" spans="2:26" x14ac:dyDescent="0.2">
      <c r="B51" s="337" t="s">
        <v>586</v>
      </c>
      <c r="C51" s="338" t="s">
        <v>597</v>
      </c>
      <c r="D51" s="338">
        <v>5</v>
      </c>
      <c r="E51" s="338">
        <v>2</v>
      </c>
      <c r="F51" s="338">
        <v>5</v>
      </c>
      <c r="G51" s="338">
        <v>2</v>
      </c>
      <c r="H51" s="339">
        <v>0</v>
      </c>
    </row>
    <row r="52" spans="2:26" x14ac:dyDescent="0.2">
      <c r="B52" s="337" t="s">
        <v>330</v>
      </c>
      <c r="C52" s="338" t="s">
        <v>598</v>
      </c>
      <c r="D52" s="338">
        <v>8</v>
      </c>
      <c r="E52" s="338">
        <v>3</v>
      </c>
      <c r="F52" s="338">
        <v>8</v>
      </c>
      <c r="G52" s="338">
        <v>3</v>
      </c>
      <c r="H52" s="339">
        <v>0</v>
      </c>
    </row>
    <row r="53" spans="2:26" x14ac:dyDescent="0.2">
      <c r="B53" s="337" t="s">
        <v>587</v>
      </c>
      <c r="C53" s="338" t="s">
        <v>599</v>
      </c>
      <c r="D53" s="338">
        <v>5</v>
      </c>
      <c r="E53" s="338">
        <v>0</v>
      </c>
      <c r="F53" s="338">
        <v>5</v>
      </c>
      <c r="G53" s="338">
        <v>3</v>
      </c>
      <c r="H53" s="339">
        <v>0</v>
      </c>
    </row>
    <row r="54" spans="2:26" x14ac:dyDescent="0.2">
      <c r="B54" s="337" t="s">
        <v>588</v>
      </c>
      <c r="C54" s="338" t="s">
        <v>408</v>
      </c>
      <c r="D54" s="338">
        <v>5</v>
      </c>
      <c r="E54" s="338">
        <v>0</v>
      </c>
      <c r="F54" s="338">
        <v>5</v>
      </c>
      <c r="G54" s="338">
        <v>3</v>
      </c>
      <c r="H54" s="339">
        <v>0</v>
      </c>
    </row>
    <row r="55" spans="2:26" x14ac:dyDescent="0.2">
      <c r="B55" s="337" t="s">
        <v>589</v>
      </c>
      <c r="C55" s="338" t="s">
        <v>600</v>
      </c>
      <c r="D55" s="338">
        <v>5</v>
      </c>
      <c r="E55" s="338">
        <v>2</v>
      </c>
      <c r="F55" s="338">
        <v>5</v>
      </c>
      <c r="G55" s="338">
        <v>2</v>
      </c>
      <c r="H55" s="339">
        <v>0</v>
      </c>
    </row>
    <row r="56" spans="2:26" ht="13.5" thickBot="1" x14ac:dyDescent="0.25">
      <c r="B56" s="340" t="s">
        <v>590</v>
      </c>
      <c r="C56" s="341" t="s">
        <v>601</v>
      </c>
      <c r="D56" s="341">
        <v>5</v>
      </c>
      <c r="E56" s="341">
        <v>2</v>
      </c>
      <c r="F56" s="341">
        <v>5</v>
      </c>
      <c r="G56" s="341">
        <v>2</v>
      </c>
      <c r="H56" s="342">
        <v>0</v>
      </c>
    </row>
    <row r="57" spans="2:26" ht="13.5" thickBot="1" x14ac:dyDescent="0.25"/>
    <row r="58" spans="2:26" ht="15.75" x14ac:dyDescent="0.2">
      <c r="B58" s="451" t="s">
        <v>605</v>
      </c>
      <c r="C58" s="452"/>
      <c r="D58" s="452"/>
      <c r="E58" s="452"/>
      <c r="F58" s="452"/>
      <c r="G58" s="452"/>
      <c r="H58" s="452"/>
      <c r="I58" s="453"/>
      <c r="J58" s="356"/>
    </row>
    <row r="59" spans="2:26" ht="13.5" thickBot="1" x14ac:dyDescent="0.25">
      <c r="B59" s="461"/>
      <c r="C59" s="462"/>
      <c r="D59" s="463" t="s">
        <v>576</v>
      </c>
      <c r="E59" s="463"/>
      <c r="F59" s="463"/>
      <c r="G59" s="463"/>
      <c r="H59" s="463"/>
      <c r="I59" s="464"/>
      <c r="J59" s="357"/>
    </row>
    <row r="60" spans="2:26" x14ac:dyDescent="0.2">
      <c r="B60" s="461"/>
      <c r="C60" s="462"/>
      <c r="D60" s="345">
        <v>1</v>
      </c>
      <c r="E60" s="345">
        <v>2</v>
      </c>
      <c r="F60" s="345">
        <v>3</v>
      </c>
      <c r="G60" s="345">
        <v>4</v>
      </c>
      <c r="H60" s="345">
        <v>5</v>
      </c>
      <c r="I60" s="346">
        <v>6</v>
      </c>
      <c r="J60" s="357"/>
      <c r="K60" s="349"/>
      <c r="L60" s="350" t="s">
        <v>577</v>
      </c>
      <c r="M60" s="350" t="s">
        <v>578</v>
      </c>
      <c r="N60" s="350" t="s">
        <v>579</v>
      </c>
      <c r="O60" s="350" t="s">
        <v>580</v>
      </c>
      <c r="P60" s="350" t="s">
        <v>581</v>
      </c>
      <c r="Q60" s="350" t="s">
        <v>582</v>
      </c>
      <c r="R60" s="350" t="s">
        <v>583</v>
      </c>
      <c r="S60" s="350" t="s">
        <v>584</v>
      </c>
      <c r="T60" s="350" t="s">
        <v>585</v>
      </c>
      <c r="U60" s="350" t="s">
        <v>586</v>
      </c>
      <c r="V60" s="350" t="s">
        <v>330</v>
      </c>
      <c r="W60" s="350" t="s">
        <v>587</v>
      </c>
      <c r="X60" s="350" t="s">
        <v>588</v>
      </c>
      <c r="Y60" s="350" t="s">
        <v>589</v>
      </c>
      <c r="Z60" s="351" t="s">
        <v>590</v>
      </c>
    </row>
    <row r="61" spans="2:26" x14ac:dyDescent="0.2">
      <c r="B61" s="337" t="s">
        <v>577</v>
      </c>
      <c r="C61" s="338" t="s">
        <v>403</v>
      </c>
      <c r="D61" s="338">
        <v>0</v>
      </c>
      <c r="E61" s="338">
        <v>2</v>
      </c>
      <c r="F61" s="338">
        <v>6</v>
      </c>
      <c r="G61" s="338">
        <v>0</v>
      </c>
      <c r="H61" s="338">
        <v>2</v>
      </c>
      <c r="I61" s="339">
        <v>6</v>
      </c>
      <c r="J61" s="358"/>
      <c r="K61" s="347">
        <v>1</v>
      </c>
      <c r="L61" s="338">
        <v>0</v>
      </c>
      <c r="M61" s="338">
        <v>0</v>
      </c>
      <c r="N61" s="338">
        <v>0</v>
      </c>
      <c r="O61" s="338">
        <v>0</v>
      </c>
      <c r="P61" s="338">
        <v>0</v>
      </c>
      <c r="Q61" s="338">
        <v>0</v>
      </c>
      <c r="R61" s="338">
        <v>0</v>
      </c>
      <c r="S61" s="338">
        <v>0</v>
      </c>
      <c r="T61" s="338">
        <v>0</v>
      </c>
      <c r="U61" s="338">
        <v>0</v>
      </c>
      <c r="V61" s="338">
        <v>0</v>
      </c>
      <c r="W61" s="338">
        <v>0</v>
      </c>
      <c r="X61" s="338">
        <v>0</v>
      </c>
      <c r="Y61" s="338">
        <v>0</v>
      </c>
      <c r="Z61" s="339">
        <v>0</v>
      </c>
    </row>
    <row r="62" spans="2:26" x14ac:dyDescent="0.2">
      <c r="B62" s="337" t="s">
        <v>578</v>
      </c>
      <c r="C62" s="338" t="s">
        <v>404</v>
      </c>
      <c r="D62" s="338">
        <v>0</v>
      </c>
      <c r="E62" s="338">
        <v>2</v>
      </c>
      <c r="F62" s="338">
        <v>6</v>
      </c>
      <c r="G62" s="338">
        <v>0</v>
      </c>
      <c r="H62" s="338">
        <v>2</v>
      </c>
      <c r="I62" s="339">
        <v>6</v>
      </c>
      <c r="J62" s="358"/>
      <c r="K62" s="347">
        <v>2</v>
      </c>
      <c r="L62" s="338">
        <v>2</v>
      </c>
      <c r="M62" s="338">
        <v>2</v>
      </c>
      <c r="N62" s="338">
        <v>2</v>
      </c>
      <c r="O62" s="338">
        <v>2</v>
      </c>
      <c r="P62" s="338">
        <v>1</v>
      </c>
      <c r="Q62" s="338">
        <v>1</v>
      </c>
      <c r="R62" s="338">
        <v>1</v>
      </c>
      <c r="S62" s="338">
        <v>1</v>
      </c>
      <c r="T62" s="338">
        <v>1</v>
      </c>
      <c r="U62" s="338">
        <v>1</v>
      </c>
      <c r="V62" s="338">
        <v>1</v>
      </c>
      <c r="W62" s="338">
        <v>1</v>
      </c>
      <c r="X62" s="338">
        <v>1</v>
      </c>
      <c r="Y62" s="338">
        <v>2</v>
      </c>
      <c r="Z62" s="339">
        <v>2</v>
      </c>
    </row>
    <row r="63" spans="2:26" x14ac:dyDescent="0.2">
      <c r="B63" s="337" t="s">
        <v>579</v>
      </c>
      <c r="C63" s="338" t="s">
        <v>591</v>
      </c>
      <c r="D63" s="338">
        <v>0</v>
      </c>
      <c r="E63" s="338">
        <v>2</v>
      </c>
      <c r="F63" s="338">
        <v>6</v>
      </c>
      <c r="G63" s="338">
        <v>0</v>
      </c>
      <c r="H63" s="338">
        <v>2</v>
      </c>
      <c r="I63" s="339">
        <v>6</v>
      </c>
      <c r="J63" s="358"/>
      <c r="K63" s="347">
        <v>3</v>
      </c>
      <c r="L63" s="338">
        <v>6</v>
      </c>
      <c r="M63" s="338">
        <v>6</v>
      </c>
      <c r="N63" s="338">
        <v>6</v>
      </c>
      <c r="O63" s="338">
        <v>4</v>
      </c>
      <c r="P63" s="338">
        <v>2</v>
      </c>
      <c r="Q63" s="338">
        <v>2</v>
      </c>
      <c r="R63" s="338">
        <v>2</v>
      </c>
      <c r="S63" s="338">
        <v>2</v>
      </c>
      <c r="T63" s="338">
        <v>2</v>
      </c>
      <c r="U63" s="338">
        <v>2</v>
      </c>
      <c r="V63" s="338">
        <v>2</v>
      </c>
      <c r="W63" s="338">
        <v>2</v>
      </c>
      <c r="X63" s="338">
        <v>2</v>
      </c>
      <c r="Y63" s="338">
        <v>4</v>
      </c>
      <c r="Z63" s="339">
        <v>4</v>
      </c>
    </row>
    <row r="64" spans="2:26" x14ac:dyDescent="0.2">
      <c r="B64" s="337" t="s">
        <v>580</v>
      </c>
      <c r="C64" s="338" t="s">
        <v>406</v>
      </c>
      <c r="D64" s="338">
        <v>0</v>
      </c>
      <c r="E64" s="338">
        <v>2</v>
      </c>
      <c r="F64" s="338">
        <v>4</v>
      </c>
      <c r="G64" s="338">
        <v>0</v>
      </c>
      <c r="H64" s="338">
        <v>2</v>
      </c>
      <c r="I64" s="339">
        <v>4</v>
      </c>
      <c r="J64" s="358"/>
      <c r="K64" s="347">
        <v>4</v>
      </c>
      <c r="L64" s="338">
        <v>0</v>
      </c>
      <c r="M64" s="338">
        <v>0</v>
      </c>
      <c r="N64" s="338">
        <v>0</v>
      </c>
      <c r="O64" s="338">
        <v>0</v>
      </c>
      <c r="P64" s="338">
        <v>1</v>
      </c>
      <c r="Q64" s="338">
        <v>1</v>
      </c>
      <c r="R64" s="338">
        <v>1</v>
      </c>
      <c r="S64" s="338">
        <v>1</v>
      </c>
      <c r="T64" s="338">
        <v>1</v>
      </c>
      <c r="U64" s="338">
        <v>1</v>
      </c>
      <c r="V64" s="338">
        <v>1</v>
      </c>
      <c r="W64" s="338">
        <v>1</v>
      </c>
      <c r="X64" s="338">
        <v>1</v>
      </c>
      <c r="Y64" s="338">
        <v>0</v>
      </c>
      <c r="Z64" s="339">
        <v>0</v>
      </c>
    </row>
    <row r="65" spans="2:26" x14ac:dyDescent="0.2">
      <c r="B65" s="337" t="s">
        <v>581</v>
      </c>
      <c r="C65" s="338" t="s">
        <v>592</v>
      </c>
      <c r="D65" s="338">
        <v>0</v>
      </c>
      <c r="E65" s="338">
        <v>1</v>
      </c>
      <c r="F65" s="338">
        <v>2</v>
      </c>
      <c r="G65" s="338">
        <v>1</v>
      </c>
      <c r="H65" s="338">
        <v>2</v>
      </c>
      <c r="I65" s="339">
        <v>3</v>
      </c>
      <c r="J65" s="358"/>
      <c r="K65" s="347">
        <v>5</v>
      </c>
      <c r="L65" s="338">
        <v>2</v>
      </c>
      <c r="M65" s="338">
        <v>2</v>
      </c>
      <c r="N65" s="338">
        <v>2</v>
      </c>
      <c r="O65" s="338">
        <v>2</v>
      </c>
      <c r="P65" s="338">
        <v>2</v>
      </c>
      <c r="Q65" s="338">
        <v>2</v>
      </c>
      <c r="R65" s="338">
        <v>2</v>
      </c>
      <c r="S65" s="338">
        <v>2</v>
      </c>
      <c r="T65" s="338">
        <v>2</v>
      </c>
      <c r="U65" s="338">
        <v>2</v>
      </c>
      <c r="V65" s="338">
        <v>2</v>
      </c>
      <c r="W65" s="338">
        <v>2</v>
      </c>
      <c r="X65" s="338">
        <v>2</v>
      </c>
      <c r="Y65" s="338">
        <v>2</v>
      </c>
      <c r="Z65" s="339">
        <v>2</v>
      </c>
    </row>
    <row r="66" spans="2:26" ht="13.5" thickBot="1" x14ac:dyDescent="0.25">
      <c r="B66" s="337" t="s">
        <v>582</v>
      </c>
      <c r="C66" s="338" t="s">
        <v>593</v>
      </c>
      <c r="D66" s="338">
        <v>0</v>
      </c>
      <c r="E66" s="338">
        <v>1</v>
      </c>
      <c r="F66" s="338">
        <v>2</v>
      </c>
      <c r="G66" s="338">
        <v>1</v>
      </c>
      <c r="H66" s="338">
        <v>2</v>
      </c>
      <c r="I66" s="339">
        <v>3</v>
      </c>
      <c r="J66" s="358"/>
      <c r="K66" s="359">
        <v>6</v>
      </c>
      <c r="L66" s="341">
        <v>6</v>
      </c>
      <c r="M66" s="341">
        <v>6</v>
      </c>
      <c r="N66" s="341">
        <v>6</v>
      </c>
      <c r="O66" s="341">
        <v>4</v>
      </c>
      <c r="P66" s="341">
        <v>3</v>
      </c>
      <c r="Q66" s="341">
        <v>3</v>
      </c>
      <c r="R66" s="341">
        <v>3</v>
      </c>
      <c r="S66" s="341">
        <v>3</v>
      </c>
      <c r="T66" s="341">
        <v>3</v>
      </c>
      <c r="U66" s="341">
        <v>3</v>
      </c>
      <c r="V66" s="341">
        <v>3</v>
      </c>
      <c r="W66" s="341">
        <v>3</v>
      </c>
      <c r="X66" s="341">
        <v>3</v>
      </c>
      <c r="Y66" s="341">
        <v>4</v>
      </c>
      <c r="Z66" s="342">
        <v>4</v>
      </c>
    </row>
    <row r="67" spans="2:26" x14ac:dyDescent="0.2">
      <c r="B67" s="337" t="s">
        <v>583</v>
      </c>
      <c r="C67" s="338" t="s">
        <v>594</v>
      </c>
      <c r="D67" s="338">
        <v>0</v>
      </c>
      <c r="E67" s="338">
        <v>1</v>
      </c>
      <c r="F67" s="338">
        <v>2</v>
      </c>
      <c r="G67" s="338">
        <v>1</v>
      </c>
      <c r="H67" s="338">
        <v>2</v>
      </c>
      <c r="I67" s="339">
        <v>3</v>
      </c>
      <c r="J67" s="358"/>
    </row>
    <row r="68" spans="2:26" x14ac:dyDescent="0.2">
      <c r="B68" s="337" t="s">
        <v>584</v>
      </c>
      <c r="C68" s="338" t="s">
        <v>595</v>
      </c>
      <c r="D68" s="338">
        <v>0</v>
      </c>
      <c r="E68" s="338">
        <v>1</v>
      </c>
      <c r="F68" s="338">
        <v>2</v>
      </c>
      <c r="G68" s="338">
        <v>1</v>
      </c>
      <c r="H68" s="338">
        <v>2</v>
      </c>
      <c r="I68" s="339">
        <v>3</v>
      </c>
      <c r="J68" s="358"/>
    </row>
    <row r="69" spans="2:26" x14ac:dyDescent="0.2">
      <c r="B69" s="337" t="s">
        <v>585</v>
      </c>
      <c r="C69" s="338" t="s">
        <v>596</v>
      </c>
      <c r="D69" s="338">
        <v>0</v>
      </c>
      <c r="E69" s="338">
        <v>1</v>
      </c>
      <c r="F69" s="338">
        <v>2</v>
      </c>
      <c r="G69" s="338">
        <v>1</v>
      </c>
      <c r="H69" s="338">
        <v>2</v>
      </c>
      <c r="I69" s="339">
        <v>3</v>
      </c>
      <c r="J69" s="358"/>
    </row>
    <row r="70" spans="2:26" x14ac:dyDescent="0.2">
      <c r="B70" s="337" t="s">
        <v>586</v>
      </c>
      <c r="C70" s="338" t="s">
        <v>597</v>
      </c>
      <c r="D70" s="338">
        <v>0</v>
      </c>
      <c r="E70" s="338">
        <v>1</v>
      </c>
      <c r="F70" s="338">
        <v>2</v>
      </c>
      <c r="G70" s="338">
        <v>1</v>
      </c>
      <c r="H70" s="338">
        <v>2</v>
      </c>
      <c r="I70" s="339">
        <v>3</v>
      </c>
      <c r="J70" s="358"/>
    </row>
    <row r="71" spans="2:26" x14ac:dyDescent="0.2">
      <c r="B71" s="337" t="s">
        <v>330</v>
      </c>
      <c r="C71" s="338" t="s">
        <v>598</v>
      </c>
      <c r="D71" s="338">
        <v>0</v>
      </c>
      <c r="E71" s="338">
        <v>1</v>
      </c>
      <c r="F71" s="338">
        <v>2</v>
      </c>
      <c r="G71" s="338">
        <v>1</v>
      </c>
      <c r="H71" s="338">
        <v>2</v>
      </c>
      <c r="I71" s="339">
        <v>3</v>
      </c>
      <c r="J71" s="358"/>
    </row>
    <row r="72" spans="2:26" x14ac:dyDescent="0.2">
      <c r="B72" s="337" t="s">
        <v>587</v>
      </c>
      <c r="C72" s="338" t="s">
        <v>599</v>
      </c>
      <c r="D72" s="338">
        <v>0</v>
      </c>
      <c r="E72" s="338">
        <v>1</v>
      </c>
      <c r="F72" s="338">
        <v>2</v>
      </c>
      <c r="G72" s="338">
        <v>1</v>
      </c>
      <c r="H72" s="338">
        <v>2</v>
      </c>
      <c r="I72" s="339">
        <v>3</v>
      </c>
      <c r="J72" s="358"/>
    </row>
    <row r="73" spans="2:26" x14ac:dyDescent="0.2">
      <c r="B73" s="337" t="s">
        <v>588</v>
      </c>
      <c r="C73" s="338" t="s">
        <v>408</v>
      </c>
      <c r="D73" s="338">
        <v>0</v>
      </c>
      <c r="E73" s="338">
        <v>1</v>
      </c>
      <c r="F73" s="338">
        <v>2</v>
      </c>
      <c r="G73" s="338">
        <v>1</v>
      </c>
      <c r="H73" s="338">
        <v>2</v>
      </c>
      <c r="I73" s="339">
        <v>3</v>
      </c>
      <c r="J73" s="358"/>
    </row>
    <row r="74" spans="2:26" x14ac:dyDescent="0.2">
      <c r="B74" s="337" t="s">
        <v>589</v>
      </c>
      <c r="C74" s="338" t="s">
        <v>600</v>
      </c>
      <c r="D74" s="338">
        <v>0</v>
      </c>
      <c r="E74" s="338">
        <v>2</v>
      </c>
      <c r="F74" s="338">
        <v>4</v>
      </c>
      <c r="G74" s="338">
        <v>0</v>
      </c>
      <c r="H74" s="338">
        <v>2</v>
      </c>
      <c r="I74" s="339">
        <v>4</v>
      </c>
      <c r="J74" s="358"/>
    </row>
    <row r="75" spans="2:26" ht="13.5" thickBot="1" x14ac:dyDescent="0.25">
      <c r="B75" s="340" t="s">
        <v>590</v>
      </c>
      <c r="C75" s="341" t="s">
        <v>601</v>
      </c>
      <c r="D75" s="341">
        <v>0</v>
      </c>
      <c r="E75" s="341">
        <v>2</v>
      </c>
      <c r="F75" s="341">
        <v>4</v>
      </c>
      <c r="G75" s="341">
        <v>0</v>
      </c>
      <c r="H75" s="341">
        <v>2</v>
      </c>
      <c r="I75" s="342">
        <v>4</v>
      </c>
      <c r="J75" s="358"/>
    </row>
    <row r="76" spans="2:26" ht="13.5" thickBot="1" x14ac:dyDescent="0.25"/>
    <row r="77" spans="2:26" ht="15.75" x14ac:dyDescent="0.2">
      <c r="B77" s="451" t="s">
        <v>606</v>
      </c>
      <c r="C77" s="452"/>
      <c r="D77" s="452"/>
      <c r="E77" s="452"/>
      <c r="F77" s="452"/>
      <c r="G77" s="452"/>
      <c r="H77" s="453"/>
    </row>
    <row r="78" spans="2:26" x14ac:dyDescent="0.2">
      <c r="B78" s="454"/>
      <c r="C78" s="455"/>
      <c r="D78" s="458" t="s">
        <v>576</v>
      </c>
      <c r="E78" s="459"/>
      <c r="F78" s="459"/>
      <c r="G78" s="459"/>
      <c r="H78" s="460"/>
    </row>
    <row r="79" spans="2:26" ht="13.5" thickBot="1" x14ac:dyDescent="0.25">
      <c r="B79" s="456"/>
      <c r="C79" s="457"/>
      <c r="D79" s="343">
        <v>1</v>
      </c>
      <c r="E79" s="343">
        <v>2</v>
      </c>
      <c r="F79" s="343">
        <v>3</v>
      </c>
      <c r="G79" s="343">
        <v>4</v>
      </c>
      <c r="H79" s="344">
        <v>5</v>
      </c>
    </row>
    <row r="80" spans="2:26" x14ac:dyDescent="0.2">
      <c r="B80" s="337" t="s">
        <v>577</v>
      </c>
      <c r="C80" s="338" t="s">
        <v>403</v>
      </c>
      <c r="D80" s="338">
        <v>2</v>
      </c>
      <c r="E80" s="338">
        <v>4</v>
      </c>
      <c r="F80" s="338">
        <v>0</v>
      </c>
      <c r="G80" s="338">
        <v>2</v>
      </c>
      <c r="H80" s="339">
        <v>4</v>
      </c>
      <c r="K80" s="349"/>
      <c r="L80" s="350" t="s">
        <v>577</v>
      </c>
      <c r="M80" s="350" t="s">
        <v>578</v>
      </c>
      <c r="N80" s="350" t="s">
        <v>579</v>
      </c>
      <c r="O80" s="350" t="s">
        <v>580</v>
      </c>
      <c r="P80" s="350" t="s">
        <v>581</v>
      </c>
      <c r="Q80" s="350" t="s">
        <v>582</v>
      </c>
      <c r="R80" s="350" t="s">
        <v>583</v>
      </c>
      <c r="S80" s="350" t="s">
        <v>584</v>
      </c>
      <c r="T80" s="350" t="s">
        <v>585</v>
      </c>
      <c r="U80" s="350" t="s">
        <v>586</v>
      </c>
      <c r="V80" s="350" t="s">
        <v>330</v>
      </c>
      <c r="W80" s="350" t="s">
        <v>587</v>
      </c>
      <c r="X80" s="350" t="s">
        <v>588</v>
      </c>
      <c r="Y80" s="350" t="s">
        <v>589</v>
      </c>
      <c r="Z80" s="351" t="s">
        <v>590</v>
      </c>
    </row>
    <row r="81" spans="2:26" x14ac:dyDescent="0.2">
      <c r="B81" s="337" t="s">
        <v>578</v>
      </c>
      <c r="C81" s="338" t="s">
        <v>404</v>
      </c>
      <c r="D81" s="338">
        <v>2</v>
      </c>
      <c r="E81" s="338">
        <v>4</v>
      </c>
      <c r="F81" s="338">
        <v>0</v>
      </c>
      <c r="G81" s="338">
        <v>2</v>
      </c>
      <c r="H81" s="339">
        <v>4</v>
      </c>
      <c r="K81" s="347">
        <v>1</v>
      </c>
      <c r="L81" s="352">
        <v>2</v>
      </c>
      <c r="M81" s="352">
        <v>2</v>
      </c>
      <c r="N81" s="352">
        <v>2</v>
      </c>
      <c r="O81" s="352">
        <v>2</v>
      </c>
      <c r="P81" s="352">
        <v>1</v>
      </c>
      <c r="Q81" s="352">
        <v>1</v>
      </c>
      <c r="R81" s="352">
        <v>1</v>
      </c>
      <c r="S81" s="352">
        <v>2</v>
      </c>
      <c r="T81" s="352">
        <v>1</v>
      </c>
      <c r="U81" s="352">
        <v>1</v>
      </c>
      <c r="V81" s="352">
        <v>1</v>
      </c>
      <c r="W81" s="352">
        <v>1</v>
      </c>
      <c r="X81" s="352">
        <v>1</v>
      </c>
      <c r="Y81" s="352">
        <v>2</v>
      </c>
      <c r="Z81" s="353">
        <v>2</v>
      </c>
    </row>
    <row r="82" spans="2:26" x14ac:dyDescent="0.2">
      <c r="B82" s="337" t="s">
        <v>579</v>
      </c>
      <c r="C82" s="338" t="s">
        <v>591</v>
      </c>
      <c r="D82" s="338">
        <v>2</v>
      </c>
      <c r="E82" s="338">
        <v>4</v>
      </c>
      <c r="F82" s="338">
        <v>0</v>
      </c>
      <c r="G82" s="338">
        <v>2</v>
      </c>
      <c r="H82" s="339">
        <v>4</v>
      </c>
      <c r="K82" s="347">
        <v>2</v>
      </c>
      <c r="L82" s="352">
        <v>4</v>
      </c>
      <c r="M82" s="352">
        <v>4</v>
      </c>
      <c r="N82" s="352">
        <v>4</v>
      </c>
      <c r="O82" s="352">
        <v>4</v>
      </c>
      <c r="P82" s="352">
        <v>1</v>
      </c>
      <c r="Q82" s="352">
        <v>1</v>
      </c>
      <c r="R82" s="352">
        <v>1</v>
      </c>
      <c r="S82" s="352">
        <v>3</v>
      </c>
      <c r="T82" s="352">
        <v>1</v>
      </c>
      <c r="U82" s="352">
        <v>2</v>
      </c>
      <c r="V82" s="352">
        <v>1</v>
      </c>
      <c r="W82" s="352">
        <v>1</v>
      </c>
      <c r="X82" s="352">
        <v>1</v>
      </c>
      <c r="Y82" s="352">
        <v>4</v>
      </c>
      <c r="Z82" s="353">
        <v>4</v>
      </c>
    </row>
    <row r="83" spans="2:26" x14ac:dyDescent="0.2">
      <c r="B83" s="337" t="s">
        <v>580</v>
      </c>
      <c r="C83" s="338" t="s">
        <v>406</v>
      </c>
      <c r="D83" s="338">
        <v>2</v>
      </c>
      <c r="E83" s="338">
        <v>4</v>
      </c>
      <c r="F83" s="338">
        <v>0</v>
      </c>
      <c r="G83" s="338">
        <v>2</v>
      </c>
      <c r="H83" s="339">
        <v>4</v>
      </c>
      <c r="K83" s="347">
        <v>3</v>
      </c>
      <c r="L83" s="352">
        <v>0</v>
      </c>
      <c r="M83" s="352">
        <v>0</v>
      </c>
      <c r="N83" s="352">
        <v>0</v>
      </c>
      <c r="O83" s="352">
        <v>0</v>
      </c>
      <c r="P83" s="352">
        <v>0</v>
      </c>
      <c r="Q83" s="352">
        <v>0</v>
      </c>
      <c r="R83" s="352">
        <v>0</v>
      </c>
      <c r="S83" s="352">
        <v>0</v>
      </c>
      <c r="T83" s="352">
        <v>0</v>
      </c>
      <c r="U83" s="352">
        <v>0</v>
      </c>
      <c r="V83" s="352">
        <v>0</v>
      </c>
      <c r="W83" s="352">
        <v>0</v>
      </c>
      <c r="X83" s="352">
        <v>0</v>
      </c>
      <c r="Y83" s="352">
        <v>0</v>
      </c>
      <c r="Z83" s="353">
        <v>0</v>
      </c>
    </row>
    <row r="84" spans="2:26" x14ac:dyDescent="0.2">
      <c r="B84" s="337" t="s">
        <v>581</v>
      </c>
      <c r="C84" s="338" t="s">
        <v>592</v>
      </c>
      <c r="D84" s="338">
        <v>1</v>
      </c>
      <c r="E84" s="338">
        <v>1</v>
      </c>
      <c r="F84" s="338">
        <v>0</v>
      </c>
      <c r="G84" s="338">
        <v>0</v>
      </c>
      <c r="H84" s="339">
        <v>1</v>
      </c>
      <c r="K84" s="347">
        <v>4</v>
      </c>
      <c r="L84" s="352">
        <v>2</v>
      </c>
      <c r="M84" s="352">
        <v>2</v>
      </c>
      <c r="N84" s="352">
        <v>2</v>
      </c>
      <c r="O84" s="352">
        <v>2</v>
      </c>
      <c r="P84" s="352">
        <v>0</v>
      </c>
      <c r="Q84" s="352">
        <v>0</v>
      </c>
      <c r="R84" s="352">
        <v>0</v>
      </c>
      <c r="S84" s="352">
        <v>1</v>
      </c>
      <c r="T84" s="352">
        <v>0</v>
      </c>
      <c r="U84" s="352">
        <v>0</v>
      </c>
      <c r="V84" s="352">
        <v>0</v>
      </c>
      <c r="W84" s="352">
        <v>0</v>
      </c>
      <c r="X84" s="352">
        <v>0</v>
      </c>
      <c r="Y84" s="352">
        <v>2</v>
      </c>
      <c r="Z84" s="353">
        <v>2</v>
      </c>
    </row>
    <row r="85" spans="2:26" ht="13.5" thickBot="1" x14ac:dyDescent="0.25">
      <c r="B85" s="337" t="s">
        <v>582</v>
      </c>
      <c r="C85" s="338" t="s">
        <v>593</v>
      </c>
      <c r="D85" s="338">
        <v>1</v>
      </c>
      <c r="E85" s="338">
        <v>1</v>
      </c>
      <c r="F85" s="338">
        <v>0</v>
      </c>
      <c r="G85" s="338">
        <v>0</v>
      </c>
      <c r="H85" s="339">
        <v>1</v>
      </c>
      <c r="K85" s="348">
        <v>5</v>
      </c>
      <c r="L85" s="354">
        <v>4</v>
      </c>
      <c r="M85" s="354">
        <v>4</v>
      </c>
      <c r="N85" s="354">
        <v>4</v>
      </c>
      <c r="O85" s="354">
        <v>4</v>
      </c>
      <c r="P85" s="354">
        <v>1</v>
      </c>
      <c r="Q85" s="354">
        <v>1</v>
      </c>
      <c r="R85" s="354">
        <v>1</v>
      </c>
      <c r="S85" s="354">
        <v>2</v>
      </c>
      <c r="T85" s="354">
        <v>1</v>
      </c>
      <c r="U85" s="354">
        <v>1</v>
      </c>
      <c r="V85" s="354">
        <v>1</v>
      </c>
      <c r="W85" s="354">
        <v>1</v>
      </c>
      <c r="X85" s="354">
        <v>1</v>
      </c>
      <c r="Y85" s="354">
        <v>4</v>
      </c>
      <c r="Z85" s="355">
        <v>4</v>
      </c>
    </row>
    <row r="86" spans="2:26" x14ac:dyDescent="0.2">
      <c r="B86" s="337" t="s">
        <v>583</v>
      </c>
      <c r="C86" s="338" t="s">
        <v>594</v>
      </c>
      <c r="D86" s="338">
        <v>1</v>
      </c>
      <c r="E86" s="338">
        <v>1</v>
      </c>
      <c r="F86" s="338">
        <v>0</v>
      </c>
      <c r="G86" s="338">
        <v>0</v>
      </c>
      <c r="H86" s="339">
        <v>1</v>
      </c>
    </row>
    <row r="87" spans="2:26" x14ac:dyDescent="0.2">
      <c r="B87" s="337" t="s">
        <v>584</v>
      </c>
      <c r="C87" s="338" t="s">
        <v>595</v>
      </c>
      <c r="D87" s="338">
        <v>2</v>
      </c>
      <c r="E87" s="338">
        <v>3</v>
      </c>
      <c r="F87" s="338">
        <v>0</v>
      </c>
      <c r="G87" s="338">
        <v>1</v>
      </c>
      <c r="H87" s="339">
        <v>2</v>
      </c>
    </row>
    <row r="88" spans="2:26" x14ac:dyDescent="0.2">
      <c r="B88" s="337" t="s">
        <v>585</v>
      </c>
      <c r="C88" s="338" t="s">
        <v>596</v>
      </c>
      <c r="D88" s="338">
        <v>1</v>
      </c>
      <c r="E88" s="338">
        <v>1</v>
      </c>
      <c r="F88" s="338">
        <v>0</v>
      </c>
      <c r="G88" s="338">
        <v>0</v>
      </c>
      <c r="H88" s="339">
        <v>1</v>
      </c>
    </row>
    <row r="89" spans="2:26" x14ac:dyDescent="0.2">
      <c r="B89" s="337" t="s">
        <v>586</v>
      </c>
      <c r="C89" s="338" t="s">
        <v>597</v>
      </c>
      <c r="D89" s="338">
        <v>1</v>
      </c>
      <c r="E89" s="338">
        <v>2</v>
      </c>
      <c r="F89" s="338">
        <v>0</v>
      </c>
      <c r="G89" s="338">
        <v>0</v>
      </c>
      <c r="H89" s="339">
        <v>1</v>
      </c>
    </row>
    <row r="90" spans="2:26" x14ac:dyDescent="0.2">
      <c r="B90" s="337" t="s">
        <v>330</v>
      </c>
      <c r="C90" s="338" t="s">
        <v>598</v>
      </c>
      <c r="D90" s="338">
        <v>1</v>
      </c>
      <c r="E90" s="338">
        <v>1</v>
      </c>
      <c r="F90" s="338">
        <v>0</v>
      </c>
      <c r="G90" s="338">
        <v>0</v>
      </c>
      <c r="H90" s="339">
        <v>1</v>
      </c>
    </row>
    <row r="91" spans="2:26" x14ac:dyDescent="0.2">
      <c r="B91" s="337" t="s">
        <v>587</v>
      </c>
      <c r="C91" s="338" t="s">
        <v>599</v>
      </c>
      <c r="D91" s="338">
        <v>1</v>
      </c>
      <c r="E91" s="338">
        <v>1</v>
      </c>
      <c r="F91" s="338">
        <v>0</v>
      </c>
      <c r="G91" s="338">
        <v>0</v>
      </c>
      <c r="H91" s="339">
        <v>1</v>
      </c>
    </row>
    <row r="92" spans="2:26" x14ac:dyDescent="0.2">
      <c r="B92" s="337" t="s">
        <v>588</v>
      </c>
      <c r="C92" s="338" t="s">
        <v>408</v>
      </c>
      <c r="D92" s="338">
        <v>1</v>
      </c>
      <c r="E92" s="338">
        <v>1</v>
      </c>
      <c r="F92" s="338">
        <v>0</v>
      </c>
      <c r="G92" s="338">
        <v>0</v>
      </c>
      <c r="H92" s="339">
        <v>1</v>
      </c>
    </row>
    <row r="93" spans="2:26" x14ac:dyDescent="0.2">
      <c r="B93" s="337" t="s">
        <v>589</v>
      </c>
      <c r="C93" s="338" t="s">
        <v>600</v>
      </c>
      <c r="D93" s="338">
        <v>2</v>
      </c>
      <c r="E93" s="338">
        <v>4</v>
      </c>
      <c r="F93" s="338">
        <v>0</v>
      </c>
      <c r="G93" s="338">
        <v>2</v>
      </c>
      <c r="H93" s="339">
        <v>4</v>
      </c>
    </row>
    <row r="94" spans="2:26" ht="13.5" thickBot="1" x14ac:dyDescent="0.25">
      <c r="B94" s="340" t="s">
        <v>590</v>
      </c>
      <c r="C94" s="341" t="s">
        <v>601</v>
      </c>
      <c r="D94" s="341">
        <v>2</v>
      </c>
      <c r="E94" s="341">
        <v>4</v>
      </c>
      <c r="F94" s="341">
        <v>0</v>
      </c>
      <c r="G94" s="341">
        <v>2</v>
      </c>
      <c r="H94" s="342">
        <v>4</v>
      </c>
    </row>
    <row r="95" spans="2:26" ht="13.5" thickBot="1" x14ac:dyDescent="0.25"/>
    <row r="96" spans="2:26" ht="15.75" x14ac:dyDescent="0.2">
      <c r="B96" s="451" t="s">
        <v>607</v>
      </c>
      <c r="C96" s="452"/>
      <c r="D96" s="452"/>
      <c r="E96" s="452"/>
      <c r="F96" s="452"/>
      <c r="G96" s="452"/>
      <c r="H96" s="453"/>
    </row>
    <row r="97" spans="2:26" x14ac:dyDescent="0.2">
      <c r="B97" s="461"/>
      <c r="C97" s="462"/>
      <c r="D97" s="463" t="s">
        <v>576</v>
      </c>
      <c r="E97" s="463"/>
      <c r="F97" s="463"/>
      <c r="G97" s="463"/>
      <c r="H97" s="464"/>
    </row>
    <row r="98" spans="2:26" x14ac:dyDescent="0.2">
      <c r="B98" s="461"/>
      <c r="C98" s="462"/>
      <c r="D98" s="345">
        <v>1</v>
      </c>
      <c r="E98" s="345">
        <v>2</v>
      </c>
      <c r="F98" s="345">
        <v>3</v>
      </c>
      <c r="G98" s="345">
        <v>4</v>
      </c>
      <c r="H98" s="346">
        <v>5</v>
      </c>
    </row>
    <row r="99" spans="2:26" ht="13.5" thickBot="1" x14ac:dyDescent="0.25">
      <c r="B99" s="337" t="s">
        <v>577</v>
      </c>
      <c r="C99" s="338" t="s">
        <v>403</v>
      </c>
      <c r="D99" s="338">
        <v>0</v>
      </c>
      <c r="E99" s="338">
        <v>1</v>
      </c>
      <c r="F99" s="338">
        <v>0</v>
      </c>
      <c r="G99" s="338">
        <v>1</v>
      </c>
      <c r="H99" s="339">
        <v>3</v>
      </c>
    </row>
    <row r="100" spans="2:26" x14ac:dyDescent="0.2">
      <c r="B100" s="337" t="s">
        <v>578</v>
      </c>
      <c r="C100" s="338" t="s">
        <v>404</v>
      </c>
      <c r="D100" s="338">
        <v>0</v>
      </c>
      <c r="E100" s="338">
        <v>1</v>
      </c>
      <c r="F100" s="338">
        <v>0</v>
      </c>
      <c r="G100" s="338">
        <v>1</v>
      </c>
      <c r="H100" s="339">
        <v>3</v>
      </c>
      <c r="K100" s="349"/>
      <c r="L100" s="350" t="s">
        <v>577</v>
      </c>
      <c r="M100" s="350" t="s">
        <v>578</v>
      </c>
      <c r="N100" s="350" t="s">
        <v>579</v>
      </c>
      <c r="O100" s="350" t="s">
        <v>580</v>
      </c>
      <c r="P100" s="350" t="s">
        <v>581</v>
      </c>
      <c r="Q100" s="350" t="s">
        <v>582</v>
      </c>
      <c r="R100" s="350" t="s">
        <v>583</v>
      </c>
      <c r="S100" s="350" t="s">
        <v>584</v>
      </c>
      <c r="T100" s="350" t="s">
        <v>585</v>
      </c>
      <c r="U100" s="350" t="s">
        <v>586</v>
      </c>
      <c r="V100" s="350" t="s">
        <v>330</v>
      </c>
      <c r="W100" s="350" t="s">
        <v>587</v>
      </c>
      <c r="X100" s="350" t="s">
        <v>588</v>
      </c>
      <c r="Y100" s="350" t="s">
        <v>589</v>
      </c>
      <c r="Z100" s="351" t="s">
        <v>590</v>
      </c>
    </row>
    <row r="101" spans="2:26" x14ac:dyDescent="0.2">
      <c r="B101" s="337" t="s">
        <v>579</v>
      </c>
      <c r="C101" s="338" t="s">
        <v>591</v>
      </c>
      <c r="D101" s="338">
        <v>0</v>
      </c>
      <c r="E101" s="338">
        <v>0</v>
      </c>
      <c r="F101" s="338">
        <v>0</v>
      </c>
      <c r="G101" s="338">
        <v>1</v>
      </c>
      <c r="H101" s="339">
        <v>2</v>
      </c>
      <c r="K101" s="347">
        <v>1</v>
      </c>
      <c r="L101" s="352">
        <v>0</v>
      </c>
      <c r="M101" s="352">
        <v>0</v>
      </c>
      <c r="N101" s="352">
        <v>0</v>
      </c>
      <c r="O101" s="352">
        <v>0</v>
      </c>
      <c r="P101" s="352">
        <v>0</v>
      </c>
      <c r="Q101" s="352">
        <v>0</v>
      </c>
      <c r="R101" s="352">
        <v>0</v>
      </c>
      <c r="S101" s="352">
        <v>0</v>
      </c>
      <c r="T101" s="352">
        <v>0</v>
      </c>
      <c r="U101" s="352">
        <v>0</v>
      </c>
      <c r="V101" s="352">
        <v>0</v>
      </c>
      <c r="W101" s="352">
        <v>0</v>
      </c>
      <c r="X101" s="352">
        <v>0</v>
      </c>
      <c r="Y101" s="352">
        <v>0</v>
      </c>
      <c r="Z101" s="353">
        <v>2</v>
      </c>
    </row>
    <row r="102" spans="2:26" x14ac:dyDescent="0.2">
      <c r="B102" s="337" t="s">
        <v>580</v>
      </c>
      <c r="C102" s="338" t="s">
        <v>406</v>
      </c>
      <c r="D102" s="338">
        <v>0</v>
      </c>
      <c r="E102" s="338">
        <v>0</v>
      </c>
      <c r="F102" s="338">
        <v>0</v>
      </c>
      <c r="G102" s="338">
        <v>1</v>
      </c>
      <c r="H102" s="339">
        <v>2</v>
      </c>
      <c r="K102" s="347">
        <v>2</v>
      </c>
      <c r="L102" s="352">
        <v>1</v>
      </c>
      <c r="M102" s="352">
        <v>1</v>
      </c>
      <c r="N102" s="352">
        <v>0</v>
      </c>
      <c r="O102" s="352">
        <v>0</v>
      </c>
      <c r="P102" s="352">
        <v>0</v>
      </c>
      <c r="Q102" s="352">
        <v>0</v>
      </c>
      <c r="R102" s="352">
        <v>0</v>
      </c>
      <c r="S102" s="352">
        <v>0</v>
      </c>
      <c r="T102" s="352">
        <v>0</v>
      </c>
      <c r="U102" s="352">
        <v>0</v>
      </c>
      <c r="V102" s="352">
        <v>0</v>
      </c>
      <c r="W102" s="352">
        <v>1</v>
      </c>
      <c r="X102" s="352">
        <v>1</v>
      </c>
      <c r="Y102" s="352">
        <v>1</v>
      </c>
      <c r="Z102" s="353">
        <v>4</v>
      </c>
    </row>
    <row r="103" spans="2:26" x14ac:dyDescent="0.2">
      <c r="B103" s="337" t="s">
        <v>581</v>
      </c>
      <c r="C103" s="338" t="s">
        <v>592</v>
      </c>
      <c r="D103" s="338">
        <v>0</v>
      </c>
      <c r="E103" s="338">
        <v>0</v>
      </c>
      <c r="F103" s="338">
        <v>0</v>
      </c>
      <c r="G103" s="338">
        <v>1</v>
      </c>
      <c r="H103" s="339">
        <v>2</v>
      </c>
      <c r="K103" s="347">
        <v>3</v>
      </c>
      <c r="L103" s="352">
        <v>0</v>
      </c>
      <c r="M103" s="352">
        <v>0</v>
      </c>
      <c r="N103" s="352">
        <v>0</v>
      </c>
      <c r="O103" s="352">
        <v>0</v>
      </c>
      <c r="P103" s="352">
        <v>0</v>
      </c>
      <c r="Q103" s="352">
        <v>0</v>
      </c>
      <c r="R103" s="352">
        <v>0</v>
      </c>
      <c r="S103" s="352">
        <v>0</v>
      </c>
      <c r="T103" s="352">
        <v>0</v>
      </c>
      <c r="U103" s="352">
        <v>0</v>
      </c>
      <c r="V103" s="352">
        <v>0</v>
      </c>
      <c r="W103" s="352">
        <v>0</v>
      </c>
      <c r="X103" s="352">
        <v>0</v>
      </c>
      <c r="Y103" s="352">
        <v>0</v>
      </c>
      <c r="Z103" s="353">
        <v>0</v>
      </c>
    </row>
    <row r="104" spans="2:26" x14ac:dyDescent="0.2">
      <c r="B104" s="337" t="s">
        <v>582</v>
      </c>
      <c r="C104" s="338" t="s">
        <v>593</v>
      </c>
      <c r="D104" s="338">
        <v>0</v>
      </c>
      <c r="E104" s="338">
        <v>0</v>
      </c>
      <c r="F104" s="338">
        <v>0</v>
      </c>
      <c r="G104" s="338">
        <v>1</v>
      </c>
      <c r="H104" s="339">
        <v>2</v>
      </c>
      <c r="K104" s="347">
        <v>4</v>
      </c>
      <c r="L104" s="352">
        <v>1</v>
      </c>
      <c r="M104" s="352">
        <v>1</v>
      </c>
      <c r="N104" s="352">
        <v>1</v>
      </c>
      <c r="O104" s="352">
        <v>1</v>
      </c>
      <c r="P104" s="352">
        <v>1</v>
      </c>
      <c r="Q104" s="352">
        <v>1</v>
      </c>
      <c r="R104" s="352">
        <v>1</v>
      </c>
      <c r="S104" s="352">
        <v>1</v>
      </c>
      <c r="T104" s="352">
        <v>1</v>
      </c>
      <c r="U104" s="352">
        <v>1</v>
      </c>
      <c r="V104" s="352">
        <v>1</v>
      </c>
      <c r="W104" s="352">
        <v>1</v>
      </c>
      <c r="X104" s="352">
        <v>1</v>
      </c>
      <c r="Y104" s="352">
        <v>1</v>
      </c>
      <c r="Z104" s="353">
        <v>2</v>
      </c>
    </row>
    <row r="105" spans="2:26" ht="13.5" thickBot="1" x14ac:dyDescent="0.25">
      <c r="B105" s="337" t="s">
        <v>583</v>
      </c>
      <c r="C105" s="338" t="s">
        <v>594</v>
      </c>
      <c r="D105" s="338">
        <v>0</v>
      </c>
      <c r="E105" s="338">
        <v>0</v>
      </c>
      <c r="F105" s="338">
        <v>0</v>
      </c>
      <c r="G105" s="338">
        <v>1</v>
      </c>
      <c r="H105" s="339">
        <v>2</v>
      </c>
      <c r="K105" s="348">
        <v>5</v>
      </c>
      <c r="L105" s="354">
        <v>3</v>
      </c>
      <c r="M105" s="354">
        <v>3</v>
      </c>
      <c r="N105" s="354">
        <v>2</v>
      </c>
      <c r="O105" s="354">
        <v>2</v>
      </c>
      <c r="P105" s="354">
        <v>2</v>
      </c>
      <c r="Q105" s="354">
        <v>2</v>
      </c>
      <c r="R105" s="354">
        <v>2</v>
      </c>
      <c r="S105" s="354">
        <v>2</v>
      </c>
      <c r="T105" s="354">
        <v>2</v>
      </c>
      <c r="U105" s="354">
        <v>2</v>
      </c>
      <c r="V105" s="354">
        <v>2</v>
      </c>
      <c r="W105" s="354">
        <v>2</v>
      </c>
      <c r="X105" s="354">
        <v>2</v>
      </c>
      <c r="Y105" s="354">
        <v>2</v>
      </c>
      <c r="Z105" s="355">
        <v>4</v>
      </c>
    </row>
    <row r="106" spans="2:26" x14ac:dyDescent="0.2">
      <c r="B106" s="337" t="s">
        <v>584</v>
      </c>
      <c r="C106" s="338" t="s">
        <v>595</v>
      </c>
      <c r="D106" s="338">
        <v>0</v>
      </c>
      <c r="E106" s="338">
        <v>0</v>
      </c>
      <c r="F106" s="338">
        <v>0</v>
      </c>
      <c r="G106" s="338">
        <v>1</v>
      </c>
      <c r="H106" s="339">
        <v>2</v>
      </c>
    </row>
    <row r="107" spans="2:26" x14ac:dyDescent="0.2">
      <c r="B107" s="337" t="s">
        <v>585</v>
      </c>
      <c r="C107" s="338" t="s">
        <v>596</v>
      </c>
      <c r="D107" s="338">
        <v>0</v>
      </c>
      <c r="E107" s="338">
        <v>0</v>
      </c>
      <c r="F107" s="338">
        <v>0</v>
      </c>
      <c r="G107" s="338">
        <v>1</v>
      </c>
      <c r="H107" s="339">
        <v>2</v>
      </c>
    </row>
    <row r="108" spans="2:26" x14ac:dyDescent="0.2">
      <c r="B108" s="337" t="s">
        <v>586</v>
      </c>
      <c r="C108" s="338" t="s">
        <v>597</v>
      </c>
      <c r="D108" s="338">
        <v>0</v>
      </c>
      <c r="E108" s="338">
        <v>0</v>
      </c>
      <c r="F108" s="338">
        <v>0</v>
      </c>
      <c r="G108" s="338">
        <v>1</v>
      </c>
      <c r="H108" s="339">
        <v>2</v>
      </c>
    </row>
    <row r="109" spans="2:26" x14ac:dyDescent="0.2">
      <c r="B109" s="337" t="s">
        <v>330</v>
      </c>
      <c r="C109" s="338" t="s">
        <v>598</v>
      </c>
      <c r="D109" s="338">
        <v>0</v>
      </c>
      <c r="E109" s="338">
        <v>0</v>
      </c>
      <c r="F109" s="338">
        <v>0</v>
      </c>
      <c r="G109" s="338">
        <v>1</v>
      </c>
      <c r="H109" s="339">
        <v>2</v>
      </c>
    </row>
    <row r="110" spans="2:26" x14ac:dyDescent="0.2">
      <c r="B110" s="337" t="s">
        <v>587</v>
      </c>
      <c r="C110" s="338" t="s">
        <v>599</v>
      </c>
      <c r="D110" s="338">
        <v>0</v>
      </c>
      <c r="E110" s="338">
        <v>1</v>
      </c>
      <c r="F110" s="338">
        <v>0</v>
      </c>
      <c r="G110" s="338">
        <v>1</v>
      </c>
      <c r="H110" s="339">
        <v>2</v>
      </c>
    </row>
    <row r="111" spans="2:26" x14ac:dyDescent="0.2">
      <c r="B111" s="337" t="s">
        <v>588</v>
      </c>
      <c r="C111" s="338" t="s">
        <v>408</v>
      </c>
      <c r="D111" s="338">
        <v>0</v>
      </c>
      <c r="E111" s="338">
        <v>1</v>
      </c>
      <c r="F111" s="338">
        <v>0</v>
      </c>
      <c r="G111" s="338">
        <v>1</v>
      </c>
      <c r="H111" s="339">
        <v>2</v>
      </c>
    </row>
    <row r="112" spans="2:26" x14ac:dyDescent="0.2">
      <c r="B112" s="337" t="s">
        <v>589</v>
      </c>
      <c r="C112" s="338" t="s">
        <v>600</v>
      </c>
      <c r="D112" s="338">
        <v>0</v>
      </c>
      <c r="E112" s="338">
        <v>1</v>
      </c>
      <c r="F112" s="338">
        <v>0</v>
      </c>
      <c r="G112" s="338">
        <v>1</v>
      </c>
      <c r="H112" s="339">
        <v>2</v>
      </c>
    </row>
    <row r="113" spans="2:8" ht="13.5" thickBot="1" x14ac:dyDescent="0.25">
      <c r="B113" s="340" t="s">
        <v>590</v>
      </c>
      <c r="C113" s="341" t="s">
        <v>601</v>
      </c>
      <c r="D113" s="341">
        <v>2</v>
      </c>
      <c r="E113" s="341">
        <v>4</v>
      </c>
      <c r="F113" s="341">
        <v>0</v>
      </c>
      <c r="G113" s="341">
        <v>2</v>
      </c>
      <c r="H113" s="342">
        <v>4</v>
      </c>
    </row>
  </sheetData>
  <mergeCells count="18">
    <mergeCell ref="B1:H1"/>
    <mergeCell ref="D2:H2"/>
    <mergeCell ref="B2:C3"/>
    <mergeCell ref="B20:H20"/>
    <mergeCell ref="B21:C22"/>
    <mergeCell ref="D21:H21"/>
    <mergeCell ref="B39:H39"/>
    <mergeCell ref="B40:C41"/>
    <mergeCell ref="D40:H40"/>
    <mergeCell ref="B59:C60"/>
    <mergeCell ref="D59:I59"/>
    <mergeCell ref="B58:I58"/>
    <mergeCell ref="B77:H77"/>
    <mergeCell ref="B78:C79"/>
    <mergeCell ref="D78:H78"/>
    <mergeCell ref="B96:H96"/>
    <mergeCell ref="B97:C98"/>
    <mergeCell ref="D97:H9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Tabulka propočtu, verze 201-0</vt:lpstr>
      <vt:lpstr>Changelog</vt:lpstr>
      <vt:lpstr>Databaze rizik</vt:lpstr>
      <vt:lpstr>'Tabulka propočtu, verze 201-0'!Názvy_tisku</vt:lpstr>
      <vt:lpstr>'Tabulka propočtu, verze 201-0'!Oblast_tisku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Pupík Karel</dc:creator>
  <cp:lastModifiedBy>Mareš Matěj Ing.</cp:lastModifiedBy>
  <cp:lastPrinted>2020-01-08T06:47:57Z</cp:lastPrinted>
  <dcterms:created xsi:type="dcterms:W3CDTF">2008-04-21T18:49:46Z</dcterms:created>
  <dcterms:modified xsi:type="dcterms:W3CDTF">2020-07-14T14:03:39Z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d:\pw_data\matej.mares\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