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I:\Podklady pro zadání\UT - 1 - Praha\Techmanová\P+R Doplnění P2155, P2159, P2284\"/>
    </mc:Choice>
  </mc:AlternateContent>
  <bookViews>
    <workbookView xWindow="0" yWindow="0" windowWidth="16200" windowHeight="11760" tabRatio="694" firstSheet="1" activeTab="1"/>
  </bookViews>
  <sheets>
    <sheet name="Náklady související" sheetId="1" state="hidden" r:id="rId1"/>
    <sheet name="Požadavky na výkon a fukci P+R" sheetId="20" r:id="rId2"/>
    <sheet name="SO 98-98" sheetId="19" r:id="rId3"/>
    <sheet name="Náklady stavební" sheetId="2" state="hidden" r:id="rId4"/>
    <sheet name="Tabulky stavby" sheetId="4" state="hidden" r:id="rId5"/>
    <sheet name="Stavebni_naklady" sheetId="5" state="hidden" r:id="rId6"/>
  </sheets>
  <definedNames>
    <definedName name="_xlnm.Print_Titles" localSheetId="1">'Požadavky na výkon a fukci P+R'!$3:$3</definedName>
    <definedName name="_xlnm.Print_Area" localSheetId="1">'Požadavky na výkon a fukci P+R'!$A$2:$E$6</definedName>
    <definedName name="_xlnm.Print_Area" localSheetId="2">'SO 98-98'!$B$1:$L$36</definedName>
  </definedNames>
  <calcPr calcId="162913"/>
</workbook>
</file>

<file path=xl/calcChain.xml><?xml version="1.0" encoding="utf-8"?>
<calcChain xmlns="http://schemas.openxmlformats.org/spreadsheetml/2006/main">
  <c r="F47" i="2" l="1"/>
  <c r="F74" i="2"/>
  <c r="F11" i="2"/>
  <c r="F56" i="2"/>
  <c r="F38" i="2"/>
  <c r="F29" i="2"/>
  <c r="F20" i="2"/>
  <c r="F19" i="2" l="1"/>
  <c r="F46" i="2"/>
  <c r="F28" i="2"/>
  <c r="F37" i="2"/>
  <c r="F55" i="2"/>
  <c r="F73" i="2"/>
  <c r="F64" i="2"/>
  <c r="J32" i="19"/>
  <c r="J28" i="19"/>
  <c r="J22" i="19"/>
  <c r="J18" i="19"/>
  <c r="J14" i="19"/>
  <c r="B14" i="19"/>
  <c r="B18" i="19" l="1"/>
  <c r="B22" i="19" l="1"/>
  <c r="B28" i="19" l="1"/>
  <c r="B32" i="19" s="1"/>
  <c r="F63" i="2" l="1"/>
  <c r="F72" i="2"/>
  <c r="R69" i="2" s="1"/>
  <c r="F62" i="2"/>
  <c r="F54" i="2" l="1"/>
  <c r="R51" i="2" s="1"/>
  <c r="F44" i="2"/>
  <c r="F45" i="2"/>
  <c r="R42" i="2" s="1"/>
  <c r="F35" i="2"/>
  <c r="F36" i="2"/>
  <c r="F71" i="2"/>
  <c r="R60" i="2"/>
  <c r="U15" i="5"/>
  <c r="S15" i="5"/>
  <c r="Q15" i="5"/>
  <c r="O15" i="5"/>
  <c r="C5" i="1"/>
  <c r="C4" i="1"/>
  <c r="C3" i="1"/>
  <c r="C2" i="1"/>
  <c r="C1" i="1"/>
  <c r="F65" i="2" l="1"/>
  <c r="R33" i="2"/>
  <c r="F53" i="2"/>
  <c r="Q42" i="2"/>
  <c r="P42" i="2"/>
  <c r="H7" i="5" l="1"/>
  <c r="P60" i="2"/>
  <c r="Q60" i="2"/>
  <c r="K3" i="5" l="1"/>
  <c r="K2" i="5"/>
  <c r="G7" i="5" l="1"/>
  <c r="G6" i="5"/>
  <c r="G5" i="5"/>
  <c r="G4" i="5"/>
  <c r="F7" i="5"/>
  <c r="F5" i="5"/>
  <c r="F6" i="5"/>
  <c r="F4" i="5"/>
  <c r="F12" i="5"/>
  <c r="G12" i="5"/>
  <c r="A7" i="1" l="1"/>
  <c r="F27" i="2" l="1"/>
  <c r="F18" i="2"/>
  <c r="F26" i="2" l="1"/>
  <c r="F17" i="2"/>
  <c r="F43" i="2" l="1"/>
  <c r="F41" i="2" s="1"/>
  <c r="F52" i="2" l="1"/>
  <c r="F50" i="2" s="1"/>
  <c r="H41" i="2"/>
  <c r="G41" i="2"/>
  <c r="F70" i="2"/>
  <c r="F68" i="2" s="1"/>
  <c r="F61" i="2" l="1"/>
  <c r="F59" i="2" s="1"/>
  <c r="G59" i="2" s="1"/>
  <c r="G50" i="2"/>
  <c r="H50" i="2"/>
  <c r="F34" i="2"/>
  <c r="F32" i="2" s="1"/>
  <c r="G68" i="2"/>
  <c r="H68" i="2"/>
  <c r="H59" i="2" l="1"/>
  <c r="P51" i="2"/>
  <c r="Q51" i="2"/>
  <c r="Q69" i="2"/>
  <c r="P69" i="2"/>
  <c r="J33" i="2"/>
  <c r="O33" i="2"/>
  <c r="G32" i="2"/>
  <c r="N33" i="2"/>
  <c r="L33" i="2"/>
  <c r="M33" i="2"/>
  <c r="I33" i="2"/>
  <c r="K33" i="2"/>
  <c r="H32" i="2"/>
  <c r="Q33" i="2" l="1"/>
  <c r="P33" i="2"/>
  <c r="F25" i="2" l="1"/>
  <c r="F16" i="2"/>
  <c r="F10" i="2" l="1"/>
  <c r="H6" i="5" s="1"/>
  <c r="P6" i="5" l="1"/>
  <c r="R6" i="5" s="1"/>
  <c r="R2" i="5"/>
  <c r="Q2" i="5"/>
  <c r="P2" i="5"/>
  <c r="O2" i="5"/>
  <c r="N2" i="5"/>
  <c r="M2" i="5"/>
  <c r="B7" i="4"/>
  <c r="B14" i="4"/>
  <c r="B13" i="4"/>
  <c r="B12" i="4"/>
  <c r="B10" i="4"/>
  <c r="B8" i="4"/>
  <c r="B6" i="4"/>
  <c r="B18" i="1"/>
  <c r="R4" i="2"/>
  <c r="P4" i="2"/>
  <c r="R87" i="2"/>
  <c r="Q87" i="2"/>
  <c r="P87" i="2"/>
  <c r="R78" i="2"/>
  <c r="Q78" i="2"/>
  <c r="P78" i="2"/>
  <c r="R24" i="2"/>
  <c r="R15" i="2"/>
  <c r="N4" i="2"/>
  <c r="L4" i="2"/>
  <c r="J4" i="2"/>
  <c r="Z13" i="2" s="1"/>
  <c r="W7" i="2"/>
  <c r="X7" i="2"/>
  <c r="Y7" i="2"/>
  <c r="AB7" i="2"/>
  <c r="AA7" i="2"/>
  <c r="Z7" i="2"/>
  <c r="AC7" i="2"/>
  <c r="AD7" i="2"/>
  <c r="AE7" i="2"/>
  <c r="AH7" i="2"/>
  <c r="AG7" i="2"/>
  <c r="AF7" i="2"/>
  <c r="AI7" i="2"/>
  <c r="AJ7" i="2"/>
  <c r="AK7" i="2"/>
  <c r="AN7" i="2"/>
  <c r="AM7" i="2"/>
  <c r="AL7" i="2"/>
  <c r="F86" i="2"/>
  <c r="N87" i="2" s="1"/>
  <c r="F77" i="2"/>
  <c r="O78" i="2" s="1"/>
  <c r="F23" i="2"/>
  <c r="M24" i="2" s="1"/>
  <c r="F14" i="2"/>
  <c r="F9" i="2" l="1"/>
  <c r="H5" i="5" s="1"/>
  <c r="F8" i="2"/>
  <c r="H4" i="5" s="1"/>
  <c r="I87" i="2"/>
  <c r="H77" i="2"/>
  <c r="G77" i="2"/>
  <c r="I78" i="2"/>
  <c r="O87" i="2"/>
  <c r="L87" i="2"/>
  <c r="N78" i="2"/>
  <c r="H86" i="2"/>
  <c r="M87" i="2"/>
  <c r="J87" i="2"/>
  <c r="K87" i="2"/>
  <c r="G86" i="2"/>
  <c r="L78" i="2"/>
  <c r="G23" i="2"/>
  <c r="L24" i="2"/>
  <c r="H23" i="2"/>
  <c r="J24" i="2"/>
  <c r="O24" i="2"/>
  <c r="K24" i="2"/>
  <c r="I24" i="2"/>
  <c r="N24" i="2"/>
  <c r="AC16" i="2"/>
  <c r="AC17" i="2"/>
  <c r="AI20" i="2"/>
  <c r="W18" i="2"/>
  <c r="AL14" i="2"/>
  <c r="AF17" i="2"/>
  <c r="W16" i="2"/>
  <c r="AL18" i="2"/>
  <c r="AF20" i="2"/>
  <c r="AC13" i="2"/>
  <c r="W14" i="2"/>
  <c r="AF14" i="2"/>
  <c r="AL20" i="2"/>
  <c r="AF15" i="2"/>
  <c r="W17" i="2"/>
  <c r="Z20" i="2"/>
  <c r="O15" i="2" s="1"/>
  <c r="AI13" i="2"/>
  <c r="H14" i="2"/>
  <c r="AI18" i="2"/>
  <c r="AC18" i="2"/>
  <c r="W13" i="2"/>
  <c r="I15" i="2" s="1"/>
  <c r="AI16" i="2"/>
  <c r="AI15" i="2"/>
  <c r="AL15" i="2"/>
  <c r="AC14" i="2"/>
  <c r="AI14" i="2"/>
  <c r="W20" i="2"/>
  <c r="AF13" i="2"/>
  <c r="AC15" i="2"/>
  <c r="K78" i="2"/>
  <c r="P3" i="5"/>
  <c r="W15" i="2"/>
  <c r="Z18" i="2"/>
  <c r="AL16" i="2"/>
  <c r="G14" i="2"/>
  <c r="AC20" i="2"/>
  <c r="Z17" i="2"/>
  <c r="AI17" i="2"/>
  <c r="Z16" i="2"/>
  <c r="L15" i="2" s="1"/>
  <c r="AF16" i="2"/>
  <c r="Z14" i="2"/>
  <c r="J15" i="2" s="1"/>
  <c r="AF18" i="2"/>
  <c r="AL17" i="2"/>
  <c r="AL13" i="2"/>
  <c r="Z15" i="2"/>
  <c r="J78" i="2"/>
  <c r="M78" i="2"/>
  <c r="R3" i="5"/>
  <c r="K4" i="5"/>
  <c r="P10" i="5" l="1"/>
  <c r="K15" i="2"/>
  <c r="R10" i="5"/>
  <c r="R6" i="2"/>
  <c r="R3" i="2" s="1"/>
  <c r="B22" i="1" s="1"/>
  <c r="C36" i="4" s="1"/>
  <c r="M15" i="2"/>
  <c r="K42" i="2"/>
  <c r="K69" i="2"/>
  <c r="K51" i="2"/>
  <c r="K60" i="2"/>
  <c r="I42" i="2"/>
  <c r="I51" i="2"/>
  <c r="I69" i="2"/>
  <c r="I60" i="2"/>
  <c r="N51" i="2"/>
  <c r="N69" i="2"/>
  <c r="N42" i="2"/>
  <c r="N60" i="2"/>
  <c r="O51" i="2"/>
  <c r="O69" i="2"/>
  <c r="O42" i="2"/>
  <c r="O60" i="2"/>
  <c r="M42" i="2"/>
  <c r="M51" i="2"/>
  <c r="M69" i="2"/>
  <c r="M60" i="2"/>
  <c r="J69" i="2"/>
  <c r="J42" i="2"/>
  <c r="J51" i="2"/>
  <c r="J60" i="2"/>
  <c r="L51" i="2"/>
  <c r="L42" i="2"/>
  <c r="L69" i="2"/>
  <c r="L60" i="2"/>
  <c r="N15" i="2"/>
  <c r="P7" i="5"/>
  <c r="R8" i="5"/>
  <c r="P8" i="5"/>
  <c r="P9" i="5"/>
  <c r="R7" i="5"/>
  <c r="R9" i="5"/>
  <c r="P15" i="2"/>
  <c r="Q15" i="2"/>
  <c r="H8" i="5"/>
  <c r="Q24" i="2"/>
  <c r="P24" i="2"/>
  <c r="N3" i="5"/>
  <c r="N10" i="5" s="1"/>
  <c r="R13" i="5" l="1"/>
  <c r="P13" i="5"/>
  <c r="M10" i="5"/>
  <c r="T10" i="5" s="1"/>
  <c r="N7" i="5"/>
  <c r="N9" i="5"/>
  <c r="N8" i="5"/>
  <c r="M8" i="5" s="1"/>
  <c r="T8" i="5" s="1"/>
  <c r="N13" i="5" l="1"/>
  <c r="M9" i="5"/>
  <c r="T9" i="5" s="1"/>
  <c r="M7" i="5"/>
  <c r="M13" i="5" s="1"/>
  <c r="T7" i="5" l="1"/>
  <c r="E22" i="4" s="1"/>
  <c r="F7" i="2" l="1"/>
  <c r="H12" i="5" l="1"/>
  <c r="N11" i="5" s="1"/>
  <c r="F5" i="2"/>
  <c r="O6" i="2" s="1"/>
  <c r="E2" i="20" l="1"/>
  <c r="P11" i="5"/>
  <c r="P14" i="5" s="1"/>
  <c r="R11" i="5"/>
  <c r="R14" i="5" s="1"/>
  <c r="N14" i="5"/>
  <c r="O3" i="2"/>
  <c r="H5" i="2"/>
  <c r="N6" i="2"/>
  <c r="N3" i="2" s="1"/>
  <c r="B15" i="1" s="1"/>
  <c r="M6" i="2"/>
  <c r="L6" i="2"/>
  <c r="J6" i="2"/>
  <c r="I6" i="2"/>
  <c r="K6" i="2"/>
  <c r="G5" i="2"/>
  <c r="F2" i="2" s="1"/>
  <c r="T3" i="2" s="1"/>
  <c r="H14" i="5"/>
  <c r="J3" i="2" l="1"/>
  <c r="I3" i="2"/>
  <c r="B10" i="1" s="1"/>
  <c r="R12" i="5"/>
  <c r="R15" i="5" s="1"/>
  <c r="N12" i="5"/>
  <c r="N15" i="5" s="1"/>
  <c r="P12" i="5"/>
  <c r="P15" i="5" s="1"/>
  <c r="M11" i="5"/>
  <c r="M14" i="5" s="1"/>
  <c r="F1" i="2"/>
  <c r="B20" i="1" s="1"/>
  <c r="P6" i="2"/>
  <c r="P3" i="2" s="1"/>
  <c r="B17" i="1" s="1"/>
  <c r="C13" i="4"/>
  <c r="E25" i="4"/>
  <c r="C31" i="4"/>
  <c r="Q6" i="2"/>
  <c r="Q3" i="2" s="1"/>
  <c r="B21" i="1" s="1"/>
  <c r="M3" i="2"/>
  <c r="B14" i="1" s="1"/>
  <c r="C6" i="1"/>
  <c r="C29" i="1"/>
  <c r="C30" i="1"/>
  <c r="B16" i="1"/>
  <c r="L18" i="19" l="1"/>
  <c r="L14" i="19"/>
  <c r="T14" i="5"/>
  <c r="T11" i="5"/>
  <c r="M12" i="5"/>
  <c r="M15" i="5" s="1"/>
  <c r="H22" i="4"/>
  <c r="H21" i="4"/>
  <c r="C35" i="4"/>
  <c r="C32" i="4"/>
  <c r="H24" i="4"/>
  <c r="E23" i="4"/>
  <c r="C30" i="4"/>
  <c r="C35" i="1"/>
  <c r="B19" i="1"/>
  <c r="B11" i="1"/>
  <c r="K3" i="2"/>
  <c r="C31" i="1"/>
  <c r="L22" i="19" l="1"/>
  <c r="L26" i="19" s="1"/>
  <c r="T12" i="5"/>
  <c r="T13" i="5"/>
  <c r="B12" i="1"/>
  <c r="E24" i="4" s="1"/>
  <c r="L3" i="2"/>
  <c r="B13" i="1" s="1"/>
  <c r="H23" i="4"/>
  <c r="C34" i="4"/>
  <c r="C33" i="4"/>
  <c r="C29" i="4"/>
  <c r="C32" i="1"/>
  <c r="C33" i="1"/>
  <c r="L32" i="19" l="1"/>
  <c r="L28" i="19"/>
  <c r="C10" i="4"/>
  <c r="T15" i="5"/>
  <c r="C8" i="4"/>
  <c r="H25" i="4"/>
  <c r="H26" i="4"/>
  <c r="C37" i="4"/>
  <c r="L36" i="19" l="1"/>
  <c r="K2" i="19" s="1"/>
  <c r="C6" i="4"/>
  <c r="C14" i="4"/>
  <c r="E26" i="4"/>
  <c r="E21" i="4" s="1"/>
  <c r="E20" i="4" s="1"/>
  <c r="H20" i="4"/>
  <c r="C15" i="4" l="1"/>
  <c r="C16" i="4" s="1"/>
  <c r="C17" i="4"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2.xml><?xml version="1.0" encoding="utf-8"?>
<comments xmlns="http://schemas.openxmlformats.org/spreadsheetml/2006/main">
  <authors>
    <author>Janko Milan, Ing.</author>
    <author>Jiří Pelc</author>
  </authors>
  <commentList>
    <comment ref="K1" authorId="0" shapeId="0">
      <text>
        <r>
          <rPr>
            <b/>
            <sz val="9"/>
            <color indexed="81"/>
            <rFont val="Tahoma"/>
            <family val="2"/>
            <charset val="238"/>
          </rPr>
          <t>Janko Milan, Ing.:</t>
        </r>
        <r>
          <rPr>
            <sz val="9"/>
            <color indexed="81"/>
            <rFont val="Tahoma"/>
            <family val="2"/>
            <charset val="238"/>
          </rPr>
          <t xml:space="preserve">
2020-2021=3,7%</t>
        </r>
      </text>
    </comment>
    <comment ref="B3"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4"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5"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6"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B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7"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8"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9"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0" authorId="1" shapeId="0">
      <text>
        <r>
          <rPr>
            <b/>
            <sz val="11"/>
            <color indexed="81"/>
            <rFont val="Tahoma"/>
            <family val="2"/>
            <charset val="238"/>
          </rPr>
          <t>Kategorie monitoringu SO :</t>
        </r>
        <r>
          <rPr>
            <sz val="11"/>
            <color indexed="81"/>
            <rFont val="Tahoma"/>
            <family val="2"/>
            <charset val="238"/>
          </rPr>
          <t xml:space="preserve">
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t>
        </r>
        <r>
          <rPr>
            <sz val="9"/>
            <color indexed="81"/>
            <rFont val="Tahoma"/>
            <family val="2"/>
            <charset val="238"/>
          </rPr>
          <t xml:space="preserve">
</t>
        </r>
      </text>
    </comment>
    <comment ref="L11"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 ref="B12" authorId="1" shapeId="0">
      <text>
        <r>
          <rPr>
            <b/>
            <sz val="9"/>
            <color indexed="81"/>
            <rFont val="Tahoma"/>
            <family val="2"/>
            <charset val="238"/>
          </rPr>
          <t xml:space="preserve">Kategorie monitoringu PS :
</t>
        </r>
        <r>
          <rPr>
            <sz val="9"/>
            <color indexed="81"/>
            <rFont val="Tahoma"/>
            <family val="2"/>
            <charset val="238"/>
          </rPr>
          <t xml:space="preserve">D.1 Železniční zabezpečovací zařízení 
D.2 Železniční sdělovací zařízení 
D.3 Silnoproudá technologie včetně DŘT 
D.4 Ostatní technologická zařízení 
</t>
        </r>
      </text>
    </comment>
  </commentList>
</comments>
</file>

<file path=xl/sharedStrings.xml><?xml version="1.0" encoding="utf-8"?>
<sst xmlns="http://schemas.openxmlformats.org/spreadsheetml/2006/main" count="725" uniqueCount="227">
  <si>
    <t>Stavební náklady</t>
  </si>
  <si>
    <t xml:space="preserve">železniční svršek </t>
  </si>
  <si>
    <t>přejezdová konstrukce</t>
  </si>
  <si>
    <t>Označení Objektu</t>
  </si>
  <si>
    <t>PS</t>
  </si>
  <si>
    <t>SO</t>
  </si>
  <si>
    <t>náklady na Objekt
[Kč]</t>
  </si>
  <si>
    <t>Železniční přejezd v km …</t>
  </si>
  <si>
    <t>01</t>
  </si>
  <si>
    <t>Stavební náklady pro výběrové řízení:</t>
  </si>
  <si>
    <t>Typ Objetku</t>
  </si>
  <si>
    <t>10</t>
  </si>
  <si>
    <t>11</t>
  </si>
  <si>
    <t>13</t>
  </si>
  <si>
    <t>Stavba (název stavby)</t>
  </si>
  <si>
    <t>Náklady na stavbu přejezdu [Kč]</t>
  </si>
  <si>
    <t>Pomocné výpočty</t>
  </si>
  <si>
    <t>železniční spodek</t>
  </si>
  <si>
    <r>
      <rPr>
        <b/>
        <sz val="11"/>
        <color indexed="60"/>
        <rFont val="Calibri"/>
        <family val="2"/>
        <charset val="238"/>
      </rPr>
      <t>3</t>
    </r>
    <r>
      <rPr>
        <b/>
        <sz val="11"/>
        <color indexed="57"/>
        <rFont val="Calibri"/>
        <family val="2"/>
        <charset val="238"/>
      </rPr>
      <t>1</t>
    </r>
  </si>
  <si>
    <t>02</t>
  </si>
  <si>
    <t>03</t>
  </si>
  <si>
    <t>04</t>
  </si>
  <si>
    <t>05</t>
  </si>
  <si>
    <t>06</t>
  </si>
  <si>
    <t>07</t>
  </si>
  <si>
    <t>08</t>
  </si>
  <si>
    <t>09</t>
  </si>
  <si>
    <t>počet</t>
  </si>
  <si>
    <t>cena</t>
  </si>
  <si>
    <t>DUR</t>
  </si>
  <si>
    <t>PDPS</t>
  </si>
  <si>
    <t>AD</t>
  </si>
  <si>
    <t>DSPS</t>
  </si>
  <si>
    <t>Hrubý souhrn:</t>
  </si>
  <si>
    <t>Zaměření</t>
  </si>
  <si>
    <t>Inženýrská činnost *)</t>
  </si>
  <si>
    <t>1 sonda + vyhodnocení</t>
  </si>
  <si>
    <r>
      <t>1*</t>
    </r>
    <r>
      <rPr>
        <i/>
        <vertAlign val="superscript"/>
        <sz val="8"/>
        <color indexed="62"/>
        <rFont val="Calibri"/>
        <family val="2"/>
        <charset val="238"/>
      </rPr>
      <t>)</t>
    </r>
  </si>
  <si>
    <t>ceník prací dle ZRN</t>
  </si>
  <si>
    <t>Počet přejezdů zadávaných společně
(viz list "Náklady stavební")</t>
  </si>
  <si>
    <t>Položky</t>
  </si>
  <si>
    <t>Náklady na položky</t>
  </si>
  <si>
    <t>Všeobecný objekt:</t>
  </si>
  <si>
    <t>PRO ZADÁNÍ FORMOU    [P+R]</t>
  </si>
  <si>
    <t>Dokumentace skutečného provedení stavebně technická</t>
  </si>
  <si>
    <t>Dokumentace skutečného provedení v digitální podobě</t>
  </si>
  <si>
    <t>Zaměření *)</t>
  </si>
  <si>
    <t>Průzkum *)</t>
  </si>
  <si>
    <t>*) činnosti zadávané jako součást projektových prací</t>
  </si>
  <si>
    <t>Osvědčení o shodě notifikovanou osobou v realizaci</t>
  </si>
  <si>
    <t>Osvědčení o bezpečnosti před uvedením do provozu</t>
  </si>
  <si>
    <t>I</t>
  </si>
  <si>
    <t>II</t>
  </si>
  <si>
    <t>Jednoduchá stavba s nízkými nároky</t>
  </si>
  <si>
    <t>Jednoduchá stavba</t>
  </si>
  <si>
    <t>Náročnost stavby</t>
  </si>
  <si>
    <t>DSP</t>
  </si>
  <si>
    <t>DUSP</t>
  </si>
  <si>
    <t>III</t>
  </si>
  <si>
    <t>Středně náročné stavby</t>
  </si>
  <si>
    <t>DSP **)</t>
  </si>
  <si>
    <t>**)</t>
  </si>
  <si>
    <r>
      <t xml:space="preserve">Průzkum </t>
    </r>
    <r>
      <rPr>
        <b/>
        <i/>
        <vertAlign val="superscript"/>
        <sz val="8"/>
        <color indexed="62"/>
        <rFont val="Calibri"/>
        <family val="2"/>
        <charset val="238"/>
      </rPr>
      <t>1*)</t>
    </r>
  </si>
  <si>
    <t>DSP**)</t>
  </si>
  <si>
    <r>
      <t xml:space="preserve">Charakter stavby
</t>
    </r>
    <r>
      <rPr>
        <i/>
        <sz val="11"/>
        <color indexed="8"/>
        <rFont val="Calibri"/>
        <family val="2"/>
        <charset val="238"/>
      </rPr>
      <t>[I; II; III]</t>
    </r>
  </si>
  <si>
    <t>podklad pouze dle zjednodušené dokumentace SŽ pro P+R</t>
  </si>
  <si>
    <t>**) podklad pouze dle zjednodušené dokumentace SŽ pro P+R</t>
  </si>
  <si>
    <t>P+R</t>
  </si>
  <si>
    <t>Charakter</t>
  </si>
  <si>
    <r>
      <t xml:space="preserve">Průzkum </t>
    </r>
    <r>
      <rPr>
        <b/>
        <i/>
        <vertAlign val="superscript"/>
        <sz val="9"/>
        <color indexed="22"/>
        <rFont val="Calibri"/>
        <family val="2"/>
        <charset val="238"/>
      </rPr>
      <t>1*)</t>
    </r>
  </si>
  <si>
    <t>redukční koeficien</t>
  </si>
  <si>
    <t>Název položky</t>
  </si>
  <si>
    <t>Geodetická dokumentace skutečného provedení</t>
  </si>
  <si>
    <t>zabezpečovací zařízení (PZS)</t>
  </si>
  <si>
    <t>Zařazení nákladů</t>
  </si>
  <si>
    <t>Celkové náklady</t>
  </si>
  <si>
    <t>(A)</t>
  </si>
  <si>
    <t>[ Kč ]</t>
  </si>
  <si>
    <t>4. Stroje a zařízení</t>
  </si>
  <si>
    <t>6. Úprava ceny (v případě potřeby)</t>
  </si>
  <si>
    <t>10.  Mezisoučet</t>
  </si>
  <si>
    <t>11. DPH</t>
  </si>
  <si>
    <t xml:space="preserve">12.  CELKEM </t>
  </si>
  <si>
    <t/>
  </si>
  <si>
    <t>B.1.1.1</t>
  </si>
  <si>
    <t>z toho</t>
  </si>
  <si>
    <t>B.2.1.1</t>
  </si>
  <si>
    <t>Všeobecný objekt</t>
  </si>
  <si>
    <t>Předpokládaná hodnota plnění zhotovitele:</t>
  </si>
  <si>
    <t>ZRN jednotlivých SO</t>
  </si>
  <si>
    <t>ZRN jednotlivých PS</t>
  </si>
  <si>
    <t>Monitoring</t>
  </si>
  <si>
    <t>Číslo SO</t>
  </si>
  <si>
    <t>Název stavebního objektu</t>
  </si>
  <si>
    <t>Rozdělení majetku</t>
  </si>
  <si>
    <t>realizace od</t>
  </si>
  <si>
    <t>realizace do</t>
  </si>
  <si>
    <t>náklady SO (B.1.1.1)</t>
  </si>
  <si>
    <t>E.1.1.1</t>
  </si>
  <si>
    <t>Železniční svršek</t>
  </si>
  <si>
    <t>SŽDC</t>
  </si>
  <si>
    <t>E.1.1.2</t>
  </si>
  <si>
    <t>Železniční spodek</t>
  </si>
  <si>
    <t>E.1.3</t>
  </si>
  <si>
    <t>Přejezdová konstrukce</t>
  </si>
  <si>
    <t>Číslo PS</t>
  </si>
  <si>
    <t>Název provozního souboru</t>
  </si>
  <si>
    <t>náklady PS (B.2.1.1)</t>
  </si>
  <si>
    <t>D.1</t>
  </si>
  <si>
    <t>Železniční zabezpečovací zařízení</t>
  </si>
  <si>
    <t>CELKEM</t>
  </si>
  <si>
    <t>Začátek realizace</t>
  </si>
  <si>
    <t>Konec realizace</t>
  </si>
  <si>
    <t>Počet dní</t>
  </si>
  <si>
    <t>SUMA DNÍ REALIZACE</t>
  </si>
  <si>
    <t>Smíšená CÚ</t>
  </si>
  <si>
    <t>Tab.1 - Tabulka CIN (s inflací)</t>
  </si>
  <si>
    <t>Tab.2 - PHVZ (s inflací) - P+R</t>
  </si>
  <si>
    <t>NAD ***)</t>
  </si>
  <si>
    <t>BOZP v přípravě ***)</t>
  </si>
  <si>
    <t>***) kvalifikovaný odhad zadavatele</t>
  </si>
  <si>
    <t>Interoperabilita ***)</t>
  </si>
  <si>
    <t>Geodetická dokumentace skutečného provedení stavby</t>
  </si>
  <si>
    <t>Dokumentace skutečného provedení v listinné formě</t>
  </si>
  <si>
    <t>Dokumentace skutečného provedení v elektronické formě</t>
  </si>
  <si>
    <t>Projektová dokumentace pro provádění stavby (PDPS)</t>
  </si>
  <si>
    <t xml:space="preserve">Osvědčení o shodě notifikovanou osobou </t>
  </si>
  <si>
    <t>Autorský dozor</t>
  </si>
  <si>
    <t>Projektová dokumentace pro stavební povolení (DSP)</t>
  </si>
  <si>
    <r>
      <t xml:space="preserve">Zpracování zjednodušené dokumentace SŽ (Par1)
 </t>
    </r>
    <r>
      <rPr>
        <i/>
        <sz val="9"/>
        <color indexed="8"/>
        <rFont val="Calibri"/>
        <family val="2"/>
        <charset val="238"/>
      </rPr>
      <t>[ANO/NE]</t>
    </r>
  </si>
  <si>
    <r>
      <t xml:space="preserve">Zpracování DUR (Par2)
 </t>
    </r>
    <r>
      <rPr>
        <i/>
        <sz val="9"/>
        <color indexed="8"/>
        <rFont val="Calibri"/>
        <family val="2"/>
        <charset val="238"/>
      </rPr>
      <t>[ANO/NE]</t>
    </r>
  </si>
  <si>
    <r>
      <t xml:space="preserve">Zadávací řízení formou P+R (Par3)
</t>
    </r>
    <r>
      <rPr>
        <i/>
        <sz val="9"/>
        <color indexed="8"/>
        <rFont val="Calibri"/>
        <family val="2"/>
        <charset val="238"/>
      </rPr>
      <t>[ANO/NE]</t>
    </r>
  </si>
  <si>
    <r>
      <t xml:space="preserve">Zpracování DUSP (Par2)
 </t>
    </r>
    <r>
      <rPr>
        <i/>
        <sz val="9"/>
        <color indexed="8"/>
        <rFont val="Calibri"/>
        <family val="2"/>
        <charset val="238"/>
      </rPr>
      <t>[ANO/NE]</t>
    </r>
  </si>
  <si>
    <t>Předpokládaná hodnota veřejné zakázky na zhotovení stavby v rozčlenění:</t>
  </si>
  <si>
    <t>Počet přejezdů zadávaných v jednom výběrovém řízení</t>
  </si>
  <si>
    <t>Osvědčení o shodě notifikovanou osobou v přípravě</t>
  </si>
  <si>
    <t>Koordinátor BOZP v přípravě</t>
  </si>
  <si>
    <t>Geodetické práce a mapové podklady</t>
  </si>
  <si>
    <t>Inženýrská činnost</t>
  </si>
  <si>
    <t>Dokumentace pro vydání společného povolení (DUSP)</t>
  </si>
  <si>
    <t>Autorský dozor (AD)</t>
  </si>
  <si>
    <t>Průzkum</t>
  </si>
  <si>
    <t>Tab.3 - PHVZ - DUSP + PDPS + AD</t>
  </si>
  <si>
    <t>ISPROFIN:</t>
  </si>
  <si>
    <t>Označení (S-kód):</t>
  </si>
  <si>
    <t>Majetek:</t>
  </si>
  <si>
    <t>Stádium 2</t>
  </si>
  <si>
    <t>Datum zpracování:</t>
  </si>
  <si>
    <t>;</t>
  </si>
  <si>
    <t>Inflace</t>
  </si>
  <si>
    <t>s inflací</t>
  </si>
  <si>
    <t>SOPS/PR/2018/06/01</t>
  </si>
  <si>
    <t>SOUPIS PRACÍ / ROZPOČET</t>
  </si>
  <si>
    <t>SO 98-98</t>
  </si>
  <si>
    <t>Stavba:</t>
  </si>
  <si>
    <t>Název stavby</t>
  </si>
  <si>
    <t>CELKEM:</t>
  </si>
  <si>
    <t>SO/PS:</t>
  </si>
  <si>
    <t>Kategorie monitoringu:</t>
  </si>
  <si>
    <t>Klasifikace SO/PS:</t>
  </si>
  <si>
    <t>Stupeň dokumentace:</t>
  </si>
  <si>
    <t>Zahájení realizace SO/PS:</t>
  </si>
  <si>
    <t>Zpracovatel:</t>
  </si>
  <si>
    <t>Cenová úroveň:</t>
  </si>
  <si>
    <t>Ukončení realizace SO/PS.</t>
  </si>
  <si>
    <t>Obchodní název firmy/společnosti, v případě fyzické osoby podnikající  IČO</t>
  </si>
  <si>
    <t>Titul Jméno Příjmení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</si>
  <si>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</si>
  <si>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</si>
  <si>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</si>
  <si>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</si>
  <si>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</si>
  <si>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</si>
  <si>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</si>
  <si>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</si>
  <si>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</si>
  <si>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</si>
  <si>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</si>
  <si>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</si>
  <si>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</si>
  <si>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</si>
  <si>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</si>
  <si>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</si>
  <si>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</si>
  <si>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</si>
  <si>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</si>
  <si>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</si>
  <si>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</si>
  <si>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</si>
  <si>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</si>
  <si>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</si>
  <si>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</si>
  <si>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</si>
  <si>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</si>
  <si>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</si>
  <si>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</si>
  <si>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</si>
  <si>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</si>
  <si>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</si>
  <si>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</si>
  <si>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</si>
  <si>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</si>
  <si>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</si>
  <si>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</si>
  <si>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</si>
  <si>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</si>
  <si>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Cena celkem:</t>
  </si>
  <si>
    <t>Rekapitulace dat pro tvorbu nabídkové ceny stavby</t>
  </si>
  <si>
    <t>Položka</t>
  </si>
  <si>
    <t>Popis položky</t>
  </si>
  <si>
    <t>Poznáka</t>
  </si>
  <si>
    <r>
      <t xml:space="preserve">Cena za položku
</t>
    </r>
    <r>
      <rPr>
        <sz val="11"/>
        <color theme="1"/>
        <rFont val="Calibri"/>
        <family val="2"/>
        <charset val="238"/>
        <scheme val="minor"/>
      </rPr>
      <t>[Kč]</t>
    </r>
  </si>
  <si>
    <t>SŽ</t>
  </si>
  <si>
    <t>Dokumentace pro územní rozhodnutí (DUR)</t>
  </si>
  <si>
    <t>86</t>
  </si>
  <si>
    <t>přípojka napájení NN přejezdu</t>
  </si>
  <si>
    <t>E.3.6</t>
  </si>
  <si>
    <t>Přípojka napájení NN přejezdu</t>
  </si>
  <si>
    <t xml:space="preserve">Pro napájení nového PZS bude využita  napájecí přípojka vybudovaná vrámci opravných prací OŘ Ústí n. L.. Rozsah napájení určí dodavatel dle daného typu PZS a na základě energetické bilance, která bude součástí projektu. Dle rozsahu tohoto napájecího zdroje bude provedena montáž úprav v ostatních částech napájecího systému (např. rozvodna NN).  Položka obsahuje všechny náklady na montáž příslušného zařízení se všemi pomocnými a doplňujícími pracemi a součástmi, případné použití mechanizmů, včetně dopravy ze skladu k místu montáže, náklady na mzdy. Součástí tohoto SO budou rovněž demontáže veškerých zbytných venkovních prvků a likvidace odpadu v souladu se zákonem o odpadech.      </t>
  </si>
  <si>
    <t xml:space="preserve">Položka obsahuje všechny náklady na pořízení a doplnění dodání a úpravy technologického (reléového) domku, nových výstražníků včetně související nutné kabelizace, včetně pomocného materiálu a jeho dopravu do staveništního skladu. Montáž nových výstražníků a související nutné kabelizace, zapojení včetně předepsaných zkoušek. 
Položka obsahuje všechny náklady na montáž dodaného zařízení se všemi pomocnými a doplňujícími pracemi a součástmi, případné použití mechanizmů, včetně dopravy ze skladu k místu montáže, náklady na mzdy. Součástí tohoto PS budou rovněž demontáže veškerých zbytných venkovních prvků stávajícího PZS a likvidaci odpadu v souladu se zákonem o odpadech.
Dodání kompletního vnitřního zařízení nového PZS včetně potřebného pomocného materiálu, softwarového vybavení a jeho dopravu.  Položka obsahuje všechny náklady na pořízení a úpravu příslušných stojanů ve stávajícím technologickém domku, úpravy kolejové desky v DK, ovládacího stolu nebo skříně v DK včetně pomocného materiálu a jeho dopravu do staveništního skladu.                                                                                                                                                      Upevnění stojanu do stojanové řady, připojení pospojování (usazení skříně v novém technologickém domku, který bude umístěn v rámci opravných prací OŘ Ústí n. L. úpravy kolejové desky, ovládacího stolu v DK ) na místo určení, zapojení, včetně tvorby a instalace příslušného softwarového vybavení. Položka obsahuje všechny náklady na montáž dodaného zařízení se všemi pomocnými a doplňujícími pracemi a součástmi, případné použití mechanizmů, včetně dopravy ze skladu k místu montáže, náklady na mzdy. 
Montáž úpravy SZZ a jeho prvků (počítačů náprav a návěstidel) pro zavázání nového PZS včetně kompletního přezkoušení zařízení. Položka obsahuje všechny náklady na montáž příslušného zařízení se všemi pomocnými a doplňujícími pracemi a součástmi, případné použití mechanizmů, včetně dopravy ze skladu k místu montáže, náklady na mzdy. Montáž úpravy se provádí v rozsahu nutném pro přenos indikací a ovládání potřebných pro nově zřizované PZS.  Součástí tohoto PS budou rovněž demontáže veškerých zbytných vnitřních prvků související s úvazkou a výstrojí stávajícího PZS.
V rámci tohoto PS bude zpracována a schválena nová tabulka přejezdu, provedeno úplné přezkoušení nového PZS a jeho uvedení do provozu. PS bude realizován dle závazných norem a směrnic a to včetně podmínek TSI. Součástí PS je i ekologická likvidace odpadů v souladu se zákonem o odpadech.
</t>
  </si>
  <si>
    <t>V rozsahu Zjednodušené dokumentace ve stádiu 2 a ZTP</t>
  </si>
  <si>
    <t xml:space="preserve">PS01-01-31 </t>
  </si>
  <si>
    <t xml:space="preserve">SO01-86-01     </t>
  </si>
  <si>
    <t>Zabezpečovací zařízení (PZS) železniční přejezd v km 100,806 (P2155)</t>
  </si>
  <si>
    <t>Přípojka napájení železniční přejezd v km 100,806 (P2155)</t>
  </si>
  <si>
    <t>Stavba 2:</t>
  </si>
  <si>
    <t xml:space="preserve">Doplnění závor na přejezdu P2155 v km 100,806 trati Louny – Most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</si>
</sst>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6" formatCode="#,##0\ &quot;Kč&quot;;[Red]\-#,##0\ &quot;Kč&quot;"/>
    <numFmt numFmtId="7" formatCode="#,##0.00\ &quot;Kč&quot;;\-#,##0.00\ &quot;Kč&quot;"/>
    <numFmt numFmtId="42" formatCode="_-* #,##0\ &quot;Kč&quot;_-;\-* #,##0\ &quot;Kč&quot;_-;_-* &quot;-&quot;\ &quot;Kč&quot;_-;_-@_-"/>
    <numFmt numFmtId="44" formatCode="_-* #,##0.00\ &quot;Kč&quot;_-;\-* #,##0.00\ &quot;Kč&quot;_-;_-* &quot;-&quot;??\ &quot;Kč&quot;_-;_-@_-"/>
    <numFmt numFmtId="164" formatCode="_-* #,##0.00\ _K_č_-;\-* #,##0.00\ _K_č_-;_-* &quot;-&quot;??\ _K_č_-;_-@_-"/>
    <numFmt numFmtId="165" formatCode="#,##0.00\ &quot;Kč&quot;"/>
    <numFmt numFmtId="166" formatCode="#,##0\ &quot;Kč&quot;"/>
    <numFmt numFmtId="167" formatCode="mm/yyyy"/>
    <numFmt numFmtId="168" formatCode="_-* #,##0\ &quot;Kč&quot;_-;\-* #,##0\ &quot;Kč&quot;_-;_-* &quot;-&quot;??\ &quot;Kč&quot;_-;_-@_-"/>
    <numFmt numFmtId="169" formatCode="#,##0.000"/>
    <numFmt numFmtId="170" formatCode="m\/yyyy"/>
  </numFmts>
  <fonts count="107" x14ac:knownFonts="1">
    <font>
      <sz val="11"/>
      <color theme="1"/>
      <name val="Calibri"/>
      <family val="2"/>
      <charset val="238"/>
      <scheme val="minor"/>
    </font>
    <font>
      <sz val="11"/>
      <color theme="1"/>
      <name val="Verdana"/>
      <family val="2"/>
      <charset val="238"/>
    </font>
    <font>
      <sz val="11"/>
      <color indexed="8"/>
      <name val="Calibri"/>
      <family val="2"/>
      <charset val="238"/>
    </font>
    <font>
      <b/>
      <sz val="11"/>
      <name val="Arial CE"/>
      <family val="2"/>
      <charset val="238"/>
    </font>
    <font>
      <b/>
      <sz val="11"/>
      <color indexed="60"/>
      <name val="Calibri"/>
      <family val="2"/>
      <charset val="238"/>
    </font>
    <font>
      <b/>
      <sz val="11"/>
      <color indexed="57"/>
      <name val="Calibri"/>
      <family val="2"/>
      <charset val="238"/>
    </font>
    <font>
      <i/>
      <sz val="11"/>
      <color indexed="8"/>
      <name val="Calibri"/>
      <family val="2"/>
      <charset val="238"/>
    </font>
    <font>
      <i/>
      <vertAlign val="superscript"/>
      <sz val="8"/>
      <color indexed="62"/>
      <name val="Calibri"/>
      <family val="2"/>
      <charset val="238"/>
    </font>
    <font>
      <b/>
      <i/>
      <vertAlign val="superscript"/>
      <sz val="8"/>
      <color indexed="62"/>
      <name val="Calibri"/>
      <family val="2"/>
      <charset val="238"/>
    </font>
    <font>
      <i/>
      <sz val="9"/>
      <color indexed="8"/>
      <name val="Calibri"/>
      <family val="2"/>
      <charset val="238"/>
    </font>
    <font>
      <b/>
      <i/>
      <vertAlign val="superscript"/>
      <sz val="9"/>
      <color indexed="22"/>
      <name val="Calibri"/>
      <family val="2"/>
      <charset val="238"/>
    </font>
    <font>
      <b/>
      <sz val="12"/>
      <color indexed="8"/>
      <name val="Arial"/>
      <family val="2"/>
      <charset val="238"/>
    </font>
    <font>
      <b/>
      <sz val="10"/>
      <color indexed="8"/>
      <name val="Arial"/>
      <family val="2"/>
      <charset val="238"/>
    </font>
    <font>
      <sz val="10"/>
      <color indexed="8"/>
      <name val="Arial"/>
      <family val="2"/>
      <charset val="238"/>
    </font>
    <font>
      <sz val="11"/>
      <color indexed="8"/>
      <name val="Arial"/>
      <family val="2"/>
      <charset val="238"/>
    </font>
    <font>
      <sz val="11"/>
      <name val="Arial"/>
      <family val="2"/>
      <charset val="238"/>
    </font>
    <font>
      <b/>
      <sz val="11"/>
      <color indexed="8"/>
      <name val="Arial"/>
      <family val="2"/>
      <charset val="238"/>
    </font>
    <font>
      <b/>
      <sz val="12"/>
      <name val="Arial"/>
      <family val="2"/>
      <charset val="238"/>
    </font>
    <font>
      <sz val="10"/>
      <name val="Arial"/>
      <family val="2"/>
      <charset val="238"/>
    </font>
    <font>
      <b/>
      <sz val="9"/>
      <name val="Arial"/>
      <family val="2"/>
      <charset val="238"/>
    </font>
    <font>
      <b/>
      <sz val="8"/>
      <name val="Arial"/>
      <family val="2"/>
      <charset val="238"/>
    </font>
    <font>
      <b/>
      <sz val="10"/>
      <name val="Arial"/>
      <family val="2"/>
      <charset val="238"/>
    </font>
    <font>
      <b/>
      <sz val="11"/>
      <color indexed="81"/>
      <name val="Tahoma"/>
      <family val="2"/>
      <charset val="238"/>
    </font>
    <font>
      <sz val="11"/>
      <color indexed="81"/>
      <name val="Tahoma"/>
      <family val="2"/>
      <charset val="238"/>
    </font>
    <font>
      <sz val="9"/>
      <color indexed="81"/>
      <name val="Tahoma"/>
      <family val="2"/>
      <charset val="238"/>
    </font>
    <font>
      <b/>
      <sz val="9"/>
      <color indexed="81"/>
      <name val="Tahoma"/>
      <family val="2"/>
      <charset val="238"/>
    </font>
    <font>
      <sz val="11"/>
      <name val="Arial CE"/>
      <family val="2"/>
      <charset val="238"/>
    </font>
    <font>
      <sz val="10"/>
      <name val="Arial CE"/>
      <family val="2"/>
      <charset val="238"/>
    </font>
    <font>
      <sz val="10"/>
      <name val="Arial CE"/>
      <charset val="238"/>
    </font>
    <font>
      <b/>
      <sz val="11"/>
      <name val="Arial"/>
      <family val="2"/>
      <charset val="238"/>
    </font>
    <font>
      <sz val="11"/>
      <color theme="0"/>
      <name val="Calibri"/>
      <family val="2"/>
      <charset val="238"/>
      <scheme val="minor"/>
    </font>
    <font>
      <b/>
      <sz val="11"/>
      <color theme="1"/>
      <name val="Calibri"/>
      <family val="2"/>
      <charset val="238"/>
      <scheme val="minor"/>
    </font>
    <font>
      <b/>
      <sz val="12"/>
      <color theme="1"/>
      <name val="Calibri"/>
      <family val="2"/>
      <charset val="238"/>
      <scheme val="minor"/>
    </font>
    <font>
      <sz val="10"/>
      <color theme="1"/>
      <name val="Calibri"/>
      <family val="2"/>
      <charset val="238"/>
      <scheme val="minor"/>
    </font>
    <font>
      <b/>
      <sz val="11"/>
      <color rgb="FFC00000"/>
      <name val="Calibri"/>
      <family val="2"/>
      <charset val="238"/>
      <scheme val="minor"/>
    </font>
    <font>
      <b/>
      <sz val="11"/>
      <color theme="6" tint="-0.499984740745262"/>
      <name val="Calibri"/>
      <family val="2"/>
      <charset val="238"/>
      <scheme val="minor"/>
    </font>
    <font>
      <i/>
      <sz val="8"/>
      <color theme="3" tint="0.39997558519241921"/>
      <name val="Calibri"/>
      <family val="2"/>
      <charset val="238"/>
      <scheme val="minor"/>
    </font>
    <font>
      <b/>
      <i/>
      <sz val="11"/>
      <color theme="1"/>
      <name val="Calibri"/>
      <family val="2"/>
      <charset val="238"/>
      <scheme val="minor"/>
    </font>
    <font>
      <b/>
      <sz val="14"/>
      <name val="Calibri"/>
      <family val="2"/>
      <charset val="238"/>
      <scheme val="minor"/>
    </font>
    <font>
      <i/>
      <sz val="10"/>
      <color theme="3"/>
      <name val="Calibri"/>
      <family val="2"/>
      <charset val="238"/>
      <scheme val="minor"/>
    </font>
    <font>
      <i/>
      <sz val="9"/>
      <color theme="3"/>
      <name val="Calibri"/>
      <family val="2"/>
      <charset val="238"/>
      <scheme val="minor"/>
    </font>
    <font>
      <b/>
      <i/>
      <sz val="8"/>
      <color theme="3" tint="0.39997558519241921"/>
      <name val="Calibri"/>
      <family val="2"/>
      <charset val="238"/>
      <scheme val="minor"/>
    </font>
    <font>
      <b/>
      <i/>
      <sz val="9"/>
      <color theme="3"/>
      <name val="Calibri"/>
      <family val="2"/>
      <charset val="238"/>
      <scheme val="minor"/>
    </font>
    <font>
      <b/>
      <i/>
      <sz val="10"/>
      <color theme="3"/>
      <name val="Calibri"/>
      <family val="2"/>
      <charset val="238"/>
      <scheme val="minor"/>
    </font>
    <font>
      <b/>
      <i/>
      <sz val="10"/>
      <name val="Calibri"/>
      <family val="2"/>
      <charset val="238"/>
      <scheme val="minor"/>
    </font>
    <font>
      <b/>
      <i/>
      <sz val="9"/>
      <color theme="0" tint="-4.9989318521683403E-2"/>
      <name val="Calibri"/>
      <family val="2"/>
      <charset val="238"/>
      <scheme val="minor"/>
    </font>
    <font>
      <i/>
      <sz val="8"/>
      <name val="Calibri"/>
      <family val="2"/>
      <charset val="238"/>
      <scheme val="minor"/>
    </font>
    <font>
      <i/>
      <sz val="11"/>
      <color theme="1"/>
      <name val="Calibri"/>
      <family val="2"/>
      <charset val="238"/>
      <scheme val="minor"/>
    </font>
    <font>
      <i/>
      <sz val="10"/>
      <name val="Calibri"/>
      <family val="2"/>
      <charset val="238"/>
      <scheme val="minor"/>
    </font>
    <font>
      <b/>
      <i/>
      <sz val="12"/>
      <color theme="0"/>
      <name val="Calibri"/>
      <family val="2"/>
      <charset val="238"/>
      <scheme val="minor"/>
    </font>
    <font>
      <b/>
      <sz val="11"/>
      <color theme="1"/>
      <name val="Calibri"/>
      <family val="2"/>
      <charset val="238"/>
    </font>
    <font>
      <b/>
      <i/>
      <sz val="11"/>
      <color rgb="FFFF0000"/>
      <name val="Arial"/>
      <family val="2"/>
      <charset val="238"/>
    </font>
    <font>
      <b/>
      <i/>
      <sz val="11"/>
      <color theme="0"/>
      <name val="Calibri"/>
      <family val="2"/>
      <charset val="238"/>
      <scheme val="minor"/>
    </font>
    <font>
      <i/>
      <sz val="11"/>
      <color rgb="FFFF0000"/>
      <name val="Calibri"/>
      <family val="2"/>
      <charset val="238"/>
      <scheme val="minor"/>
    </font>
    <font>
      <b/>
      <i/>
      <sz val="14"/>
      <color theme="0"/>
      <name val="Calibri"/>
      <family val="2"/>
      <charset val="238"/>
      <scheme val="minor"/>
    </font>
    <font>
      <b/>
      <i/>
      <sz val="11"/>
      <color theme="3" tint="0.39997558519241921"/>
      <name val="Calibri"/>
      <family val="2"/>
      <charset val="238"/>
      <scheme val="minor"/>
    </font>
    <font>
      <b/>
      <sz val="14"/>
      <color theme="0" tint="-4.9989318521683403E-2"/>
      <name val="Calibri"/>
      <family val="2"/>
      <charset val="238"/>
      <scheme val="minor"/>
    </font>
    <font>
      <sz val="14"/>
      <color theme="1"/>
      <name val="Calibri"/>
      <family val="2"/>
      <charset val="238"/>
      <scheme val="minor"/>
    </font>
    <font>
      <b/>
      <sz val="10"/>
      <color theme="0" tint="-4.9989318521683403E-2"/>
      <name val="Arial CE"/>
      <family val="2"/>
      <charset val="238"/>
    </font>
    <font>
      <b/>
      <i/>
      <sz val="10"/>
      <color theme="3" tint="0.39997558519241921"/>
      <name val="Calibri"/>
      <family val="2"/>
      <charset val="238"/>
      <scheme val="minor"/>
    </font>
    <font>
      <sz val="11"/>
      <name val="Calibri"/>
      <family val="2"/>
      <charset val="238"/>
      <scheme val="minor"/>
    </font>
    <font>
      <b/>
      <sz val="10"/>
      <color rgb="FFFF0000"/>
      <name val="Arial CE"/>
      <charset val="238"/>
    </font>
    <font>
      <sz val="11"/>
      <color theme="1"/>
      <name val="Calibri"/>
      <family val="2"/>
      <charset val="238"/>
      <scheme val="minor"/>
    </font>
    <font>
      <i/>
      <sz val="11"/>
      <name val="Calibri"/>
      <family val="2"/>
      <charset val="238"/>
      <scheme val="minor"/>
    </font>
    <font>
      <b/>
      <sz val="16"/>
      <color theme="1"/>
      <name val="Calibri"/>
      <family val="2"/>
      <charset val="238"/>
      <scheme val="minor"/>
    </font>
    <font>
      <i/>
      <sz val="10"/>
      <color theme="1"/>
      <name val="Calibri"/>
      <family val="2"/>
      <charset val="238"/>
      <scheme val="minor"/>
    </font>
    <font>
      <i/>
      <sz val="8"/>
      <name val="Arial"/>
      <family val="2"/>
      <charset val="238"/>
    </font>
    <font>
      <sz val="9"/>
      <color indexed="81"/>
      <name val="Calibri"/>
      <family val="2"/>
      <charset val="238"/>
      <scheme val="minor"/>
    </font>
    <font>
      <sz val="9"/>
      <color theme="1"/>
      <name val="Verdana"/>
      <family val="2"/>
      <charset val="238"/>
    </font>
    <font>
      <b/>
      <sz val="14"/>
      <color theme="1"/>
      <name val="Calibri"/>
      <family val="2"/>
      <charset val="238"/>
      <scheme val="minor"/>
    </font>
    <font>
      <b/>
      <sz val="10"/>
      <name val="Arial CE"/>
      <charset val="238"/>
    </font>
    <font>
      <b/>
      <sz val="11"/>
      <color rgb="FFFF0000"/>
      <name val="Arial CE"/>
      <charset val="238"/>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u/>
      <sz val="10"/>
      <color indexed="81"/>
      <name val="Calibri"/>
      <family val="2"/>
      <charset val="238"/>
      <scheme val="minor"/>
    </font>
    <font>
      <i/>
      <sz val="9"/>
      <color indexed="81"/>
      <name val="Calibri"/>
      <family val="2"/>
      <charset val="238"/>
      <scheme val="minor"/>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b/>
      <sz val="18"/>
      <color theme="1"/>
      <name val="Calibri"/>
      <family val="2"/>
      <charset val="238"/>
      <scheme val="minor"/>
    </font>
  </fonts>
  <fills count="30">
    <fill>
      <patternFill patternType="none"/>
    </fill>
    <fill>
      <patternFill patternType="gray125"/>
    </fill>
    <fill>
      <patternFill patternType="solid">
        <fgColor theme="4" tint="0.79998168889431442"/>
        <bgColor indexed="64"/>
      </patternFill>
    </fill>
    <fill>
      <patternFill patternType="solid">
        <fgColor theme="2" tint="-0.249977111117893"/>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2"/>
        <bgColor indexed="64"/>
      </patternFill>
    </fill>
    <fill>
      <patternFill patternType="solid">
        <fgColor rgb="FFFFC0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theme="0" tint="-4.9989318521683403E-2"/>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
      <patternFill patternType="solid">
        <fgColor rgb="FFEAEAEA"/>
        <bgColor indexed="64"/>
      </patternFill>
    </fill>
    <fill>
      <patternFill patternType="solid">
        <fgColor rgb="FF92D050"/>
        <bgColor indexed="64"/>
      </patternFill>
    </fill>
    <fill>
      <patternFill patternType="solid">
        <fgColor theme="3" tint="0.79998168889431442"/>
        <bgColor indexed="64"/>
      </patternFill>
    </fill>
    <fill>
      <patternFill patternType="solid">
        <fgColor theme="0" tint="-0.34998626667073579"/>
        <bgColor indexed="64"/>
      </patternFill>
    </fill>
    <fill>
      <patternFill patternType="solid">
        <fgColor theme="0" tint="-0.14996795556505021"/>
        <bgColor indexed="64"/>
      </patternFill>
    </fill>
    <fill>
      <patternFill patternType="solid">
        <fgColor theme="6" tint="-0.249977111117893"/>
        <bgColor indexed="64"/>
      </patternFill>
    </fill>
    <fill>
      <patternFill patternType="solid">
        <fgColor theme="4" tint="0.59999389629810485"/>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s>
  <borders count="247">
    <border>
      <left/>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double">
        <color indexed="64"/>
      </top>
      <bottom style="thin">
        <color indexed="64"/>
      </bottom>
      <diagonal/>
    </border>
    <border>
      <left/>
      <right style="medium">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ck">
        <color indexed="64"/>
      </right>
      <top style="thin">
        <color indexed="64"/>
      </top>
      <bottom style="thick">
        <color indexed="64"/>
      </bottom>
      <diagonal/>
    </border>
    <border>
      <left/>
      <right style="thick">
        <color indexed="64"/>
      </right>
      <top style="thick">
        <color indexed="64"/>
      </top>
      <bottom style="thin">
        <color indexed="64"/>
      </bottom>
      <diagonal/>
    </border>
    <border>
      <left style="medium">
        <color indexed="64"/>
      </left>
      <right/>
      <top/>
      <bottom/>
      <diagonal/>
    </border>
    <border>
      <left/>
      <right style="hair">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style="thin">
        <color indexed="64"/>
      </top>
      <bottom style="thick">
        <color indexed="64"/>
      </bottom>
      <diagonal/>
    </border>
    <border>
      <left style="thick">
        <color indexed="64"/>
      </left>
      <right/>
      <top style="thin">
        <color indexed="64"/>
      </top>
      <bottom style="thin">
        <color indexed="64"/>
      </bottom>
      <diagonal/>
    </border>
    <border>
      <left style="thick">
        <color indexed="64"/>
      </left>
      <right/>
      <top style="medium">
        <color indexed="64"/>
      </top>
      <bottom style="medium">
        <color indexed="64"/>
      </bottom>
      <diagonal/>
    </border>
    <border>
      <left style="thick">
        <color indexed="64"/>
      </left>
      <right style="thick">
        <color indexed="64"/>
      </right>
      <top style="thick">
        <color indexed="64"/>
      </top>
      <bottom style="thick">
        <color indexed="64"/>
      </bottom>
      <diagonal/>
    </border>
    <border>
      <left style="thick">
        <color indexed="64"/>
      </left>
      <right/>
      <top/>
      <bottom/>
      <diagonal/>
    </border>
    <border>
      <left style="thick">
        <color indexed="64"/>
      </left>
      <right/>
      <top style="thin">
        <color indexed="64"/>
      </top>
      <bottom style="thick">
        <color indexed="64"/>
      </bottom>
      <diagonal/>
    </border>
    <border>
      <left style="medium">
        <color indexed="64"/>
      </left>
      <right style="thick">
        <color indexed="64"/>
      </right>
      <top style="thick">
        <color indexed="64"/>
      </top>
      <bottom/>
      <diagonal/>
    </border>
    <border>
      <left style="medium">
        <color indexed="64"/>
      </left>
      <right style="thick">
        <color indexed="64"/>
      </right>
      <top/>
      <bottom/>
      <diagonal/>
    </border>
    <border>
      <left style="medium">
        <color indexed="64"/>
      </left>
      <right style="thick">
        <color indexed="64"/>
      </right>
      <top/>
      <bottom style="double">
        <color indexed="64"/>
      </bottom>
      <diagonal/>
    </border>
    <border>
      <left style="medium">
        <color indexed="64"/>
      </left>
      <right style="thick">
        <color indexed="64"/>
      </right>
      <top style="thin">
        <color indexed="64"/>
      </top>
      <bottom/>
      <diagonal/>
    </border>
    <border>
      <left style="medium">
        <color indexed="64"/>
      </left>
      <right style="thick">
        <color indexed="64"/>
      </right>
      <top style="thin">
        <color indexed="64"/>
      </top>
      <bottom style="thin">
        <color indexed="64"/>
      </bottom>
      <diagonal/>
    </border>
    <border>
      <left style="medium">
        <color indexed="64"/>
      </left>
      <right style="thick">
        <color indexed="64"/>
      </right>
      <top style="thin">
        <color indexed="64"/>
      </top>
      <bottom style="thick">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ck">
        <color indexed="64"/>
      </top>
      <bottom/>
      <diagonal/>
    </border>
    <border>
      <left style="medium">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hair">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hair">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top style="thin">
        <color indexed="64"/>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bottom/>
      <diagonal/>
    </border>
    <border>
      <left style="thick">
        <color indexed="64"/>
      </left>
      <right style="medium">
        <color indexed="64"/>
      </right>
      <top/>
      <bottom style="double">
        <color indexed="64"/>
      </bottom>
      <diagonal/>
    </border>
    <border>
      <left style="thin">
        <color theme="3" tint="0.39994506668294322"/>
      </left>
      <right style="thin">
        <color theme="3" tint="0.39994506668294322"/>
      </right>
      <top style="thin">
        <color theme="3" tint="0.39994506668294322"/>
      </top>
      <bottom style="double">
        <color theme="3" tint="0.39994506668294322"/>
      </bottom>
      <diagonal/>
    </border>
    <border>
      <left/>
      <right/>
      <top style="thin">
        <color theme="3" tint="0.39994506668294322"/>
      </top>
      <bottom style="double">
        <color theme="3" tint="0.39994506668294322"/>
      </bottom>
      <diagonal/>
    </border>
    <border>
      <left style="thin">
        <color theme="3" tint="0.39994506668294322"/>
      </left>
      <right/>
      <top style="thin">
        <color theme="3" tint="0.39994506668294322"/>
      </top>
      <bottom style="double">
        <color theme="3" tint="0.39994506668294322"/>
      </bottom>
      <diagonal/>
    </border>
    <border>
      <left style="thick">
        <color theme="3" tint="0.39991454817346722"/>
      </left>
      <right style="thin">
        <color theme="3" tint="0.39991454817346722"/>
      </right>
      <top style="thick">
        <color theme="3" tint="0.39991454817346722"/>
      </top>
      <bottom style="thin">
        <color theme="3" tint="0.39994506668294322"/>
      </bottom>
      <diagonal/>
    </border>
    <border>
      <left style="thin">
        <color theme="3" tint="0.39991454817346722"/>
      </left>
      <right style="thick">
        <color theme="3" tint="0.39988402966399123"/>
      </right>
      <top style="thick">
        <color theme="3" tint="0.39991454817346722"/>
      </top>
      <bottom style="thin">
        <color theme="3" tint="0.39994506668294322"/>
      </bottom>
      <diagonal/>
    </border>
    <border>
      <left style="thick">
        <color theme="3"/>
      </left>
      <right/>
      <top style="thick">
        <color theme="3"/>
      </top>
      <bottom style="thick">
        <color theme="3"/>
      </bottom>
      <diagonal/>
    </border>
    <border>
      <left/>
      <right style="thick">
        <color theme="3"/>
      </right>
      <top style="thick">
        <color theme="3"/>
      </top>
      <bottom style="thick">
        <color theme="3"/>
      </bottom>
      <diagonal/>
    </border>
    <border>
      <left/>
      <right style="thick">
        <color theme="3"/>
      </right>
      <top style="thin">
        <color theme="3"/>
      </top>
      <bottom style="thick">
        <color theme="3"/>
      </bottom>
      <diagonal/>
    </border>
    <border>
      <left style="thick">
        <color theme="3"/>
      </left>
      <right/>
      <top/>
      <bottom/>
      <diagonal/>
    </border>
    <border>
      <left style="hair">
        <color theme="3"/>
      </left>
      <right style="thick">
        <color theme="3"/>
      </right>
      <top style="thin">
        <color theme="3"/>
      </top>
      <bottom style="thick">
        <color theme="3"/>
      </bottom>
      <diagonal/>
    </border>
    <border>
      <left style="thick">
        <color theme="3" tint="0.39991454817346722"/>
      </left>
      <right/>
      <top style="thick">
        <color theme="3" tint="0.39991454817346722"/>
      </top>
      <bottom/>
      <diagonal/>
    </border>
    <border>
      <left style="thick">
        <color theme="3" tint="0.39991454817346722"/>
      </left>
      <right/>
      <top style="hair">
        <color theme="3" tint="0.39988402966399123"/>
      </top>
      <bottom style="double">
        <color theme="3" tint="0.39988402966399123"/>
      </bottom>
      <diagonal/>
    </border>
    <border>
      <left style="hair">
        <color theme="3" tint="0.39991454817346722"/>
      </left>
      <right style="thick">
        <color theme="3" tint="0.39988402966399123"/>
      </right>
      <top style="hair">
        <color theme="3" tint="0.39988402966399123"/>
      </top>
      <bottom style="double">
        <color theme="3" tint="0.39988402966399123"/>
      </bottom>
      <diagonal/>
    </border>
    <border>
      <left/>
      <right/>
      <top style="hair">
        <color theme="3" tint="0.39988402966399123"/>
      </top>
      <bottom style="double">
        <color theme="3" tint="0.39988402966399123"/>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
      <left style="thin">
        <color theme="3" tint="0.39991454817346722"/>
      </left>
      <right/>
      <top style="thin">
        <color theme="3" tint="0.39991454817346722"/>
      </top>
      <bottom style="thin">
        <color theme="3" tint="0.39991454817346722"/>
      </bottom>
      <diagonal/>
    </border>
    <border>
      <left style="thin">
        <color theme="3" tint="0.39991454817346722"/>
      </left>
      <right style="thin">
        <color theme="3" tint="0.39991454817346722"/>
      </right>
      <top style="thin">
        <color theme="3" tint="0.39991454817346722"/>
      </top>
      <bottom style="thick">
        <color theme="3" tint="0.39991454817346722"/>
      </bottom>
      <diagonal/>
    </border>
    <border>
      <left style="thin">
        <color theme="3" tint="0.39991454817346722"/>
      </left>
      <right/>
      <top style="thin">
        <color theme="3" tint="0.39991454817346722"/>
      </top>
      <bottom style="thick">
        <color theme="3" tint="0.39991454817346722"/>
      </bottom>
      <diagonal/>
    </border>
    <border>
      <left style="thin">
        <color theme="3" tint="0.39991454817346722"/>
      </left>
      <right style="thin">
        <color theme="3" tint="0.39991454817346722"/>
      </right>
      <top/>
      <bottom style="thin">
        <color theme="3" tint="0.39991454817346722"/>
      </bottom>
      <diagonal/>
    </border>
    <border>
      <left style="thin">
        <color theme="3" tint="0.39991454817346722"/>
      </left>
      <right/>
      <top/>
      <bottom style="thin">
        <color theme="3" tint="0.39991454817346722"/>
      </bottom>
      <diagonal/>
    </border>
    <border>
      <left style="thin">
        <color theme="3" tint="0.39991454817346722"/>
      </left>
      <right style="thick">
        <color theme="3" tint="0.39988402966399123"/>
      </right>
      <top/>
      <bottom style="thin">
        <color theme="3" tint="0.39991454817346722"/>
      </bottom>
      <diagonal/>
    </border>
    <border>
      <left style="thin">
        <color theme="3" tint="0.39991454817346722"/>
      </left>
      <right style="thick">
        <color theme="3" tint="0.39988402966399123"/>
      </right>
      <top style="thin">
        <color theme="3" tint="0.39991454817346722"/>
      </top>
      <bottom style="thin">
        <color theme="3" tint="0.39991454817346722"/>
      </bottom>
      <diagonal/>
    </border>
    <border>
      <left style="thin">
        <color theme="3" tint="0.39991454817346722"/>
      </left>
      <right style="thick">
        <color theme="3" tint="0.39988402966399123"/>
      </right>
      <top style="thin">
        <color theme="3" tint="0.39991454817346722"/>
      </top>
      <bottom style="thick">
        <color theme="3" tint="0.39991454817346722"/>
      </bottom>
      <diagonal/>
    </border>
    <border>
      <left/>
      <right style="hair">
        <color theme="3" tint="0.39991454817346722"/>
      </right>
      <top style="hair">
        <color theme="3" tint="0.39988402966399123"/>
      </top>
      <bottom style="double">
        <color theme="3" tint="0.39988402966399123"/>
      </bottom>
      <diagonal/>
    </border>
    <border>
      <left/>
      <right/>
      <top/>
      <bottom style="thin">
        <color theme="3" tint="0.39991454817346722"/>
      </bottom>
      <diagonal/>
    </border>
    <border>
      <left/>
      <right/>
      <top style="thin">
        <color theme="3" tint="0.39991454817346722"/>
      </top>
      <bottom style="thin">
        <color theme="3" tint="0.39991454817346722"/>
      </bottom>
      <diagonal/>
    </border>
    <border>
      <left/>
      <right/>
      <top style="thin">
        <color theme="3" tint="0.39991454817346722"/>
      </top>
      <bottom style="thick">
        <color theme="3" tint="0.39991454817346722"/>
      </bottom>
      <diagonal/>
    </border>
    <border>
      <left style="medium">
        <color theme="3" tint="0.39988402966399123"/>
      </left>
      <right style="hair">
        <color theme="3" tint="0.39991454817346722"/>
      </right>
      <top style="hair">
        <color theme="3" tint="0.39988402966399123"/>
      </top>
      <bottom style="double">
        <color theme="3" tint="0.39988402966399123"/>
      </bottom>
      <diagonal/>
    </border>
    <border>
      <left style="hair">
        <color theme="3" tint="0.39991454817346722"/>
      </left>
      <right style="medium">
        <color theme="3" tint="0.39988402966399123"/>
      </right>
      <top style="hair">
        <color theme="3" tint="0.39988402966399123"/>
      </top>
      <bottom style="double">
        <color theme="3" tint="0.39988402966399123"/>
      </bottom>
      <diagonal/>
    </border>
    <border>
      <left style="medium">
        <color theme="3" tint="0.39988402966399123"/>
      </left>
      <right style="thin">
        <color theme="3" tint="0.39991454817346722"/>
      </right>
      <top/>
      <bottom style="thin">
        <color theme="3" tint="0.39991454817346722"/>
      </bottom>
      <diagonal/>
    </border>
    <border>
      <left style="thin">
        <color theme="3" tint="0.39991454817346722"/>
      </left>
      <right style="medium">
        <color theme="3" tint="0.39988402966399123"/>
      </right>
      <top/>
      <bottom style="thin">
        <color theme="3" tint="0.39991454817346722"/>
      </bottom>
      <diagonal/>
    </border>
    <border>
      <left style="medium">
        <color theme="3" tint="0.39988402966399123"/>
      </left>
      <right style="thin">
        <color theme="3" tint="0.39991454817346722"/>
      </right>
      <top style="thin">
        <color theme="3" tint="0.39991454817346722"/>
      </top>
      <bottom style="thin">
        <color theme="3" tint="0.39991454817346722"/>
      </bottom>
      <diagonal/>
    </border>
    <border>
      <left style="thin">
        <color theme="3" tint="0.39991454817346722"/>
      </left>
      <right style="medium">
        <color theme="3" tint="0.39988402966399123"/>
      </right>
      <top style="thin">
        <color theme="3" tint="0.39991454817346722"/>
      </top>
      <bottom style="thin">
        <color theme="3" tint="0.39991454817346722"/>
      </bottom>
      <diagonal/>
    </border>
    <border>
      <left style="medium">
        <color theme="3" tint="0.39988402966399123"/>
      </left>
      <right style="thin">
        <color theme="3" tint="0.39991454817346722"/>
      </right>
      <top style="thin">
        <color theme="3" tint="0.39991454817346722"/>
      </top>
      <bottom style="thick">
        <color theme="3" tint="0.39991454817346722"/>
      </bottom>
      <diagonal/>
    </border>
    <border>
      <left style="thin">
        <color theme="3" tint="0.39991454817346722"/>
      </left>
      <right style="medium">
        <color theme="3" tint="0.39988402966399123"/>
      </right>
      <top style="thin">
        <color theme="3" tint="0.39991454817346722"/>
      </top>
      <bottom style="thick">
        <color theme="3" tint="0.39991454817346722"/>
      </bottom>
      <diagonal/>
    </border>
    <border>
      <left style="thick">
        <color theme="3" tint="0.39991454817346722"/>
      </left>
      <right/>
      <top/>
      <bottom style="thin">
        <color theme="3" tint="0.39991454817346722"/>
      </bottom>
      <diagonal/>
    </border>
    <border>
      <left style="thick">
        <color theme="3" tint="0.39991454817346722"/>
      </left>
      <right/>
      <top style="thin">
        <color theme="3" tint="0.39991454817346722"/>
      </top>
      <bottom style="thin">
        <color theme="3" tint="0.39991454817346722"/>
      </bottom>
      <diagonal/>
    </border>
    <border>
      <left style="thick">
        <color theme="3" tint="0.39991454817346722"/>
      </left>
      <right/>
      <top style="thin">
        <color theme="3" tint="0.39991454817346722"/>
      </top>
      <bottom style="thick">
        <color theme="3" tint="0.39991454817346722"/>
      </bottom>
      <diagonal/>
    </border>
    <border>
      <left style="medium">
        <color indexed="64"/>
      </left>
      <right/>
      <top style="double">
        <color theme="3" tint="0.39994506668294322"/>
      </top>
      <bottom/>
      <diagonal/>
    </border>
    <border>
      <left/>
      <right style="medium">
        <color theme="3" tint="0.39994506668294322"/>
      </right>
      <top style="double">
        <color theme="3" tint="0.39994506668294322"/>
      </top>
      <bottom/>
      <diagonal/>
    </border>
    <border>
      <left style="thin">
        <color theme="3" tint="0.39994506668294322"/>
      </left>
      <right style="thin">
        <color theme="3" tint="0.39994506668294322"/>
      </right>
      <top style="thick">
        <color theme="3" tint="0.39991454817346722"/>
      </top>
      <bottom style="double">
        <color theme="3" tint="0.39994506668294322"/>
      </bottom>
      <diagonal/>
    </border>
    <border>
      <left style="medium">
        <color theme="3" tint="0.39988402966399123"/>
      </left>
      <right style="thin">
        <color theme="3" tint="0.39994506668294322"/>
      </right>
      <top style="thick">
        <color theme="3" tint="0.39991454817346722"/>
      </top>
      <bottom style="double">
        <color theme="3" tint="0.39994506668294322"/>
      </bottom>
      <diagonal/>
    </border>
    <border>
      <left style="thin">
        <color theme="3" tint="0.39994506668294322"/>
      </left>
      <right style="thick">
        <color theme="3" tint="0.39991454817346722"/>
      </right>
      <top style="thick">
        <color theme="3" tint="0.39991454817346722"/>
      </top>
      <bottom style="double">
        <color theme="3" tint="0.39994506668294322"/>
      </bottom>
      <diagonal/>
    </border>
    <border>
      <left/>
      <right style="thick">
        <color theme="3" tint="0.39985351115451523"/>
      </right>
      <top style="thick">
        <color theme="3" tint="0.39991454817346722"/>
      </top>
      <bottom style="thick">
        <color theme="3" tint="0.39991454817346722"/>
      </bottom>
      <diagonal/>
    </border>
    <border>
      <left style="thick">
        <color theme="3" tint="0.39985351115451523"/>
      </left>
      <right/>
      <top style="thick">
        <color theme="3" tint="0.39991454817346722"/>
      </top>
      <bottom style="thick">
        <color theme="3" tint="0.39991454817346722"/>
      </bottom>
      <diagonal/>
    </border>
    <border>
      <left style="thick">
        <color theme="3" tint="0.39991454817346722"/>
      </left>
      <right/>
      <top style="thick">
        <color theme="3" tint="0.39988402966399123"/>
      </top>
      <bottom style="thin">
        <color theme="3" tint="0.39991454817346722"/>
      </bottom>
      <diagonal/>
    </border>
    <border>
      <left style="medium">
        <color theme="3" tint="0.39988402966399123"/>
      </left>
      <right style="thick">
        <color theme="3" tint="0.39988402966399123"/>
      </right>
      <top style="thick">
        <color theme="3" tint="0.39988402966399123"/>
      </top>
      <bottom style="thin">
        <color theme="3" tint="0.39991454817346722"/>
      </bottom>
      <diagonal/>
    </border>
    <border>
      <left style="medium">
        <color theme="3" tint="0.39988402966399123"/>
      </left>
      <right style="thick">
        <color theme="3" tint="0.39988402966399123"/>
      </right>
      <top/>
      <bottom style="thin">
        <color theme="3" tint="0.39991454817346722"/>
      </bottom>
      <diagonal/>
    </border>
    <border>
      <left style="medium">
        <color theme="3" tint="0.39988402966399123"/>
      </left>
      <right style="thick">
        <color theme="3" tint="0.39988402966399123"/>
      </right>
      <top style="thin">
        <color theme="3" tint="0.39991454817346722"/>
      </top>
      <bottom style="thin">
        <color theme="3" tint="0.39991454817346722"/>
      </bottom>
      <diagonal/>
    </border>
    <border>
      <left style="medium">
        <color theme="3" tint="0.39988402966399123"/>
      </left>
      <right style="thick">
        <color theme="3" tint="0.39988402966399123"/>
      </right>
      <top style="thin">
        <color theme="3" tint="0.39991454817346722"/>
      </top>
      <bottom style="thick">
        <color theme="3" tint="0.39991454817346722"/>
      </bottom>
      <diagonal/>
    </border>
    <border>
      <left/>
      <right style="hair">
        <color theme="3" tint="0.39994506668294322"/>
      </right>
      <top style="double">
        <color theme="3" tint="0.39994506668294322"/>
      </top>
      <bottom/>
      <diagonal/>
    </border>
    <border>
      <left style="hair">
        <color theme="3" tint="0.39994506668294322"/>
      </left>
      <right style="hair">
        <color theme="3" tint="0.39994506668294322"/>
      </right>
      <top style="double">
        <color theme="3" tint="0.39994506668294322"/>
      </top>
      <bottom/>
      <diagonal/>
    </border>
    <border>
      <left style="hair">
        <color theme="3" tint="0.39994506668294322"/>
      </left>
      <right/>
      <top style="double">
        <color theme="3" tint="0.39994506668294322"/>
      </top>
      <bottom/>
      <diagonal/>
    </border>
    <border>
      <left style="medium">
        <color indexed="64"/>
      </left>
      <right/>
      <top style="medium">
        <color theme="3" tint="0.39994506668294322"/>
      </top>
      <bottom/>
      <diagonal/>
    </border>
    <border>
      <left/>
      <right/>
      <top style="medium">
        <color theme="3" tint="0.39994506668294322"/>
      </top>
      <bottom/>
      <diagonal/>
    </border>
    <border>
      <left style="thin">
        <color theme="3" tint="0.39994506668294322"/>
      </left>
      <right/>
      <top style="thick">
        <color theme="3" tint="0.39991454817346722"/>
      </top>
      <bottom style="double">
        <color theme="3" tint="0.39994506668294322"/>
      </bottom>
      <diagonal/>
    </border>
    <border>
      <left style="medium">
        <color theme="3" tint="0.39988402966399123"/>
      </left>
      <right style="hair">
        <color theme="3" tint="0.39994506668294322"/>
      </right>
      <top style="double">
        <color theme="3" tint="0.39994506668294322"/>
      </top>
      <bottom/>
      <diagonal/>
    </border>
    <border>
      <left style="hair">
        <color theme="3" tint="0.39994506668294322"/>
      </left>
      <right style="medium">
        <color theme="3" tint="0.39994506668294322"/>
      </right>
      <top style="double">
        <color theme="3" tint="0.39994506668294322"/>
      </top>
      <bottom/>
      <diagonal/>
    </border>
    <border>
      <left style="medium">
        <color theme="3" tint="0.39991454817346722"/>
      </left>
      <right style="thin">
        <color theme="3" tint="0.39994506668294322"/>
      </right>
      <top style="thick">
        <color theme="3" tint="0.39991454817346722"/>
      </top>
      <bottom style="double">
        <color theme="3" tint="0.39994506668294322"/>
      </bottom>
      <diagonal/>
    </border>
    <border>
      <left style="thick">
        <color indexed="64"/>
      </left>
      <right style="thin">
        <color theme="3" tint="0.39994506668294322"/>
      </right>
      <top style="medium">
        <color theme="3" tint="0.39991454817346722"/>
      </top>
      <bottom style="double">
        <color theme="3" tint="0.39994506668294322"/>
      </bottom>
      <diagonal/>
    </border>
    <border>
      <left style="thin">
        <color theme="3" tint="0.39994506668294322"/>
      </left>
      <right/>
      <top style="medium">
        <color theme="3" tint="0.39991454817346722"/>
      </top>
      <bottom style="double">
        <color theme="3" tint="0.39994506668294322"/>
      </bottom>
      <diagonal/>
    </border>
    <border>
      <left style="medium">
        <color indexed="64"/>
      </left>
      <right/>
      <top style="double">
        <color theme="3" tint="0.39994506668294322"/>
      </top>
      <bottom style="medium">
        <color theme="3" tint="0.39994506668294322"/>
      </bottom>
      <diagonal/>
    </border>
    <border>
      <left/>
      <right style="medium">
        <color theme="3" tint="0.39994506668294322"/>
      </right>
      <top style="double">
        <color theme="3" tint="0.39994506668294322"/>
      </top>
      <bottom style="medium">
        <color theme="3" tint="0.39994506668294322"/>
      </bottom>
      <diagonal/>
    </border>
    <border>
      <left style="thin">
        <color theme="3" tint="0.39991454817346722"/>
      </left>
      <right style="thin">
        <color theme="3" tint="0.39991454817346722"/>
      </right>
      <top style="thick">
        <color theme="3" tint="0.39991454817346722"/>
      </top>
      <bottom style="thin">
        <color theme="3" tint="0.39991454817346722"/>
      </bottom>
      <diagonal/>
    </border>
    <border>
      <left style="thin">
        <color theme="3" tint="0.39991454817346722"/>
      </left>
      <right/>
      <top style="thick">
        <color theme="3" tint="0.39991454817346722"/>
      </top>
      <bottom style="thin">
        <color theme="3" tint="0.39991454817346722"/>
      </bottom>
      <diagonal/>
    </border>
    <border>
      <left style="thick">
        <color theme="3" tint="0.39988402966399123"/>
      </left>
      <right style="thin">
        <color theme="3" tint="0.39991454817346722"/>
      </right>
      <top style="thick">
        <color theme="3" tint="0.39991454817346722"/>
      </top>
      <bottom style="thin">
        <color theme="3" tint="0.39991454817346722"/>
      </bottom>
      <diagonal/>
    </border>
    <border>
      <left style="thin">
        <color theme="3" tint="0.39991454817346722"/>
      </left>
      <right style="thick">
        <color theme="3" tint="0.39988402966399123"/>
      </right>
      <top style="thick">
        <color theme="3" tint="0.39991454817346722"/>
      </top>
      <bottom style="thin">
        <color theme="3" tint="0.39991454817346722"/>
      </bottom>
      <diagonal/>
    </border>
    <border>
      <left style="thick">
        <color theme="3" tint="0.39988402966399123"/>
      </left>
      <right style="thin">
        <color theme="3" tint="0.39991454817346722"/>
      </right>
      <top style="thin">
        <color theme="3" tint="0.39991454817346722"/>
      </top>
      <bottom style="thick">
        <color theme="3" tint="0.39991454817346722"/>
      </bottom>
      <diagonal/>
    </border>
    <border>
      <left/>
      <right style="thick">
        <color theme="3"/>
      </right>
      <top style="thick">
        <color theme="3"/>
      </top>
      <bottom style="thin">
        <color theme="3"/>
      </bottom>
      <diagonal/>
    </border>
    <border>
      <left/>
      <right style="thick">
        <color theme="3"/>
      </right>
      <top/>
      <bottom style="thin">
        <color theme="3"/>
      </bottom>
      <diagonal/>
    </border>
    <border>
      <left/>
      <right style="thick">
        <color theme="3"/>
      </right>
      <top style="thin">
        <color theme="3"/>
      </top>
      <bottom style="thin">
        <color theme="3"/>
      </bottom>
      <diagonal/>
    </border>
    <border>
      <left style="thick">
        <color theme="3"/>
      </left>
      <right/>
      <top style="thick">
        <color theme="3"/>
      </top>
      <bottom style="thin">
        <color theme="3"/>
      </bottom>
      <diagonal/>
    </border>
    <border>
      <left style="thick">
        <color theme="3"/>
      </left>
      <right/>
      <top/>
      <bottom style="thin">
        <color theme="3"/>
      </bottom>
      <diagonal/>
    </border>
    <border>
      <left style="thick">
        <color theme="3"/>
      </left>
      <right/>
      <top style="thin">
        <color theme="3"/>
      </top>
      <bottom style="thin">
        <color theme="3"/>
      </bottom>
      <diagonal/>
    </border>
    <border>
      <left style="thick">
        <color theme="3"/>
      </left>
      <right/>
      <top style="thin">
        <color theme="3"/>
      </top>
      <bottom style="thick">
        <color theme="3"/>
      </bottom>
      <diagonal/>
    </border>
    <border>
      <left style="hair">
        <color theme="3"/>
      </left>
      <right style="thick">
        <color theme="3"/>
      </right>
      <top style="thick">
        <color theme="3"/>
      </top>
      <bottom style="thin">
        <color theme="3"/>
      </bottom>
      <diagonal/>
    </border>
    <border>
      <left style="hair">
        <color theme="3"/>
      </left>
      <right style="thick">
        <color theme="3"/>
      </right>
      <top style="thin">
        <color theme="3"/>
      </top>
      <bottom style="thin">
        <color theme="3"/>
      </bottom>
      <diagonal/>
    </border>
    <border>
      <left style="hair">
        <color theme="3"/>
      </left>
      <right style="thick">
        <color theme="3"/>
      </right>
      <top style="thin">
        <color theme="3"/>
      </top>
      <bottom style="medium">
        <color theme="3"/>
      </bottom>
      <diagonal/>
    </border>
    <border>
      <left style="thick">
        <color theme="3" tint="0.39991454817346722"/>
      </left>
      <right style="thick">
        <color theme="3" tint="0.39991454817346722"/>
      </right>
      <top style="double">
        <color theme="3" tint="0.39994506668294322"/>
      </top>
      <bottom/>
      <diagonal/>
    </border>
    <border>
      <left style="thick">
        <color theme="3" tint="0.39991454817346722"/>
      </left>
      <right style="thick">
        <color theme="3" tint="0.39991454817346722"/>
      </right>
      <top/>
      <bottom style="thick">
        <color theme="3" tint="0.39991454817346722"/>
      </bottom>
      <diagonal/>
    </border>
    <border>
      <left/>
      <right style="thin">
        <color theme="3" tint="0.39991454817346722"/>
      </right>
      <top style="thick">
        <color theme="3" tint="0.39991454817346722"/>
      </top>
      <bottom style="thin">
        <color theme="3" tint="0.39991454817346722"/>
      </bottom>
      <diagonal/>
    </border>
    <border diagonalUp="1">
      <left style="thin">
        <color indexed="64"/>
      </left>
      <right style="thin">
        <color indexed="64"/>
      </right>
      <top style="thin">
        <color indexed="64"/>
      </top>
      <bottom style="thin">
        <color indexed="64"/>
      </bottom>
      <diagonal style="thin">
        <color theme="0" tint="-0.499984740745262"/>
      </diagonal>
    </border>
    <border>
      <left style="thick">
        <color theme="3"/>
      </left>
      <right style="hair">
        <color theme="3"/>
      </right>
      <top style="thin">
        <color theme="3"/>
      </top>
      <bottom style="thick">
        <color theme="3"/>
      </bottom>
      <diagonal/>
    </border>
    <border>
      <left style="hair">
        <color theme="3"/>
      </left>
      <right style="hair">
        <color theme="3"/>
      </right>
      <top style="thin">
        <color theme="3"/>
      </top>
      <bottom style="thick">
        <color theme="3"/>
      </bottom>
      <diagonal/>
    </border>
    <border>
      <left/>
      <right style="thin">
        <color theme="3"/>
      </right>
      <top style="thin">
        <color theme="3"/>
      </top>
      <bottom style="thick">
        <color theme="3"/>
      </bottom>
      <diagonal/>
    </border>
    <border>
      <left/>
      <right/>
      <top style="thick">
        <color theme="3"/>
      </top>
      <bottom style="thin">
        <color theme="3"/>
      </bottom>
      <diagonal/>
    </border>
    <border>
      <left/>
      <right/>
      <top style="thick">
        <color theme="3"/>
      </top>
      <bottom style="thick">
        <color theme="3"/>
      </bottom>
      <diagonal/>
    </border>
    <border>
      <left style="thick">
        <color theme="3"/>
      </left>
      <right style="hair">
        <color theme="3"/>
      </right>
      <top style="thick">
        <color theme="3"/>
      </top>
      <bottom style="thin">
        <color theme="3"/>
      </bottom>
      <diagonal/>
    </border>
    <border>
      <left style="hair">
        <color theme="3"/>
      </left>
      <right style="hair">
        <color theme="3"/>
      </right>
      <top style="thick">
        <color theme="3"/>
      </top>
      <bottom style="thin">
        <color theme="3"/>
      </bottom>
      <diagonal/>
    </border>
    <border>
      <left style="thick">
        <color theme="3"/>
      </left>
      <right style="hair">
        <color theme="3"/>
      </right>
      <top style="thin">
        <color theme="3"/>
      </top>
      <bottom style="thin">
        <color theme="3"/>
      </bottom>
      <diagonal/>
    </border>
    <border>
      <left style="hair">
        <color theme="3"/>
      </left>
      <right style="hair">
        <color theme="3"/>
      </right>
      <top style="thin">
        <color theme="3"/>
      </top>
      <bottom style="thin">
        <color theme="3"/>
      </bottom>
      <diagonal/>
    </border>
    <border>
      <left style="thick">
        <color theme="3"/>
      </left>
      <right style="hair">
        <color theme="3"/>
      </right>
      <top style="thin">
        <color theme="3"/>
      </top>
      <bottom style="medium">
        <color theme="3"/>
      </bottom>
      <diagonal/>
    </border>
    <border>
      <left style="hair">
        <color theme="3"/>
      </left>
      <right style="hair">
        <color theme="3"/>
      </right>
      <top style="thin">
        <color theme="3"/>
      </top>
      <bottom style="medium">
        <color theme="3"/>
      </bottom>
      <diagonal/>
    </border>
    <border>
      <left style="thick">
        <color theme="3"/>
      </left>
      <right style="hair">
        <color theme="3"/>
      </right>
      <top/>
      <bottom style="thin">
        <color theme="3"/>
      </bottom>
      <diagonal/>
    </border>
    <border>
      <left style="hair">
        <color theme="3"/>
      </left>
      <right style="hair">
        <color theme="3"/>
      </right>
      <top/>
      <bottom style="thin">
        <color theme="3"/>
      </bottom>
      <diagonal/>
    </border>
    <border>
      <left style="thick">
        <color indexed="64"/>
      </left>
      <right style="thin">
        <color theme="3" tint="0.39994506668294322"/>
      </right>
      <top style="thin">
        <color theme="3" tint="0.39994506668294322"/>
      </top>
      <bottom/>
      <diagonal/>
    </border>
    <border>
      <left style="thin">
        <color theme="3" tint="0.39994506668294322"/>
      </left>
      <right style="thin">
        <color theme="3" tint="0.39994506668294322"/>
      </right>
      <top style="thin">
        <color theme="3" tint="0.39994506668294322"/>
      </top>
      <bottom/>
      <diagonal/>
    </border>
    <border>
      <left style="thick">
        <color theme="3" tint="0.39991454817346722"/>
      </left>
      <right style="thin">
        <color theme="3" tint="0.39991454817346722"/>
      </right>
      <top style="thin">
        <color theme="3" tint="0.39991454817346722"/>
      </top>
      <bottom style="thick">
        <color theme="3" tint="0.39991454817346722"/>
      </bottom>
      <diagonal/>
    </border>
    <border>
      <left/>
      <right/>
      <top style="thick">
        <color theme="3" tint="0.39991454817346722"/>
      </top>
      <bottom style="hair">
        <color theme="3" tint="0.39988402966399123"/>
      </bottom>
      <diagonal/>
    </border>
    <border>
      <left/>
      <right style="thick">
        <color theme="3" tint="0.39988402966399123"/>
      </right>
      <top style="thick">
        <color theme="3" tint="0.39991454817346722"/>
      </top>
      <bottom style="hair">
        <color theme="3" tint="0.39988402966399123"/>
      </bottom>
      <diagonal/>
    </border>
    <border>
      <left style="medium">
        <color theme="3" tint="0.39988402966399123"/>
      </left>
      <right/>
      <top style="thick">
        <color theme="3" tint="0.39991454817346722"/>
      </top>
      <bottom style="hair">
        <color theme="3" tint="0.39988402966399123"/>
      </bottom>
      <diagonal/>
    </border>
    <border>
      <left/>
      <right style="medium">
        <color theme="3" tint="0.39988402966399123"/>
      </right>
      <top style="thick">
        <color theme="3" tint="0.39991454817346722"/>
      </top>
      <bottom style="hair">
        <color theme="3" tint="0.39988402966399123"/>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ck">
        <color indexed="64"/>
      </right>
      <top style="medium">
        <color indexed="64"/>
      </top>
      <bottom style="thin">
        <color indexed="64"/>
      </bottom>
      <diagonal/>
    </border>
    <border>
      <left/>
      <right/>
      <top/>
      <bottom style="thin">
        <color indexed="64"/>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ck">
        <color indexed="64"/>
      </right>
      <top/>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medium">
        <color indexed="64"/>
      </top>
      <bottom style="thin">
        <color indexed="64"/>
      </bottom>
      <diagonal/>
    </border>
    <border>
      <left style="thin">
        <color indexed="64"/>
      </left>
      <right/>
      <top style="thick">
        <color indexed="64"/>
      </top>
      <bottom style="thin">
        <color indexed="64"/>
      </bottom>
      <diagonal/>
    </border>
    <border>
      <left/>
      <right style="thick">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ck">
        <color indexed="64"/>
      </top>
      <bottom style="thin">
        <color indexed="64"/>
      </bottom>
      <diagonal/>
    </border>
    <border>
      <left/>
      <right/>
      <top/>
      <bottom style="medium">
        <color indexed="64"/>
      </bottom>
      <diagonal/>
    </border>
    <border>
      <left style="thick">
        <color indexed="64"/>
      </left>
      <right/>
      <top style="thick">
        <color indexed="64"/>
      </top>
      <bottom/>
      <diagonal/>
    </border>
    <border>
      <left/>
      <right style="thick">
        <color indexed="64"/>
      </right>
      <top style="thin">
        <color indexed="64"/>
      </top>
      <bottom/>
      <diagonal/>
    </border>
    <border>
      <left/>
      <right style="thick">
        <color indexed="64"/>
      </right>
      <top/>
      <bottom style="medium">
        <color indexed="64"/>
      </bottom>
      <diagonal/>
    </border>
    <border>
      <left style="thick">
        <color indexed="64"/>
      </left>
      <right/>
      <top/>
      <bottom style="medium">
        <color indexed="64"/>
      </bottom>
      <diagonal/>
    </border>
    <border>
      <left/>
      <right style="medium">
        <color indexed="64"/>
      </right>
      <top style="medium">
        <color indexed="64"/>
      </top>
      <bottom style="medium">
        <color indexed="64"/>
      </bottom>
      <diagonal/>
    </border>
    <border>
      <left style="thin">
        <color indexed="64"/>
      </left>
      <right/>
      <top style="double">
        <color indexed="64"/>
      </top>
      <bottom style="medium">
        <color indexed="64"/>
      </bottom>
      <diagonal/>
    </border>
    <border>
      <left style="thin">
        <color indexed="64"/>
      </left>
      <right style="thin">
        <color indexed="64"/>
      </right>
      <top/>
      <bottom style="thin">
        <color auto="1"/>
      </bottom>
      <diagonal/>
    </border>
    <border>
      <left/>
      <right style="thin">
        <color auto="1"/>
      </right>
      <top style="double">
        <color auto="1"/>
      </top>
      <bottom style="medium">
        <color auto="1"/>
      </bottom>
      <diagonal/>
    </border>
    <border>
      <left style="thin">
        <color indexed="64"/>
      </left>
      <right/>
      <top style="medium">
        <color indexed="64"/>
      </top>
      <bottom style="double">
        <color auto="1"/>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right style="thick">
        <color auto="1"/>
      </right>
      <top style="double">
        <color auto="1"/>
      </top>
      <bottom style="medium">
        <color indexed="64"/>
      </bottom>
      <diagonal/>
    </border>
    <border>
      <left/>
      <right style="thin">
        <color auto="1"/>
      </right>
      <top style="double">
        <color auto="1"/>
      </top>
      <bottom style="double">
        <color auto="1"/>
      </bottom>
      <diagonal/>
    </border>
    <border>
      <left style="medium">
        <color auto="1"/>
      </left>
      <right/>
      <top style="double">
        <color auto="1"/>
      </top>
      <bottom style="medium">
        <color auto="1"/>
      </bottom>
      <diagonal/>
    </border>
    <border>
      <left style="thick">
        <color indexed="64"/>
      </left>
      <right/>
      <top style="medium">
        <color indexed="64"/>
      </top>
      <bottom style="thin">
        <color indexed="64"/>
      </bottom>
      <diagonal/>
    </border>
    <border>
      <left/>
      <right/>
      <top style="double">
        <color indexed="64"/>
      </top>
      <bottom style="thin">
        <color indexed="64"/>
      </bottom>
      <diagonal/>
    </border>
    <border>
      <left style="thick">
        <color indexed="64"/>
      </left>
      <right/>
      <top style="thin">
        <color indexed="64"/>
      </top>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double">
        <color indexed="64"/>
      </bottom>
      <diagonal/>
    </border>
    <border>
      <left/>
      <right style="hair">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thin">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hair">
        <color auto="1"/>
      </right>
      <top style="thick">
        <color auto="1"/>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n">
        <color auto="1"/>
      </left>
      <right style="medium">
        <color auto="1"/>
      </right>
      <top/>
      <bottom style="double">
        <color auto="1"/>
      </bottom>
      <diagonal/>
    </border>
    <border>
      <left style="thin">
        <color auto="1"/>
      </left>
      <right/>
      <top style="double">
        <color auto="1"/>
      </top>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ck">
        <color theme="3" tint="0.39991454817346722"/>
      </left>
      <right/>
      <top style="thin">
        <color theme="3" tint="0.39991454817346722"/>
      </top>
      <bottom/>
      <diagonal/>
    </border>
    <border>
      <left style="medium">
        <color theme="3" tint="0.39988402966399123"/>
      </left>
      <right style="thick">
        <color theme="3" tint="0.39988402966399123"/>
      </right>
      <top style="thin">
        <color theme="3" tint="0.39991454817346722"/>
      </top>
      <bottom/>
      <diagonal/>
    </border>
    <border>
      <left style="thin">
        <color auto="1"/>
      </left>
      <right/>
      <top style="double">
        <color auto="1"/>
      </top>
      <bottom style="thin">
        <color indexed="64"/>
      </bottom>
      <diagonal/>
    </border>
  </borders>
  <cellStyleXfs count="6">
    <xf numFmtId="0" fontId="0" fillId="0" borderId="0"/>
    <xf numFmtId="0" fontId="18" fillId="0" borderId="0"/>
    <xf numFmtId="0" fontId="28" fillId="0" borderId="0"/>
    <xf numFmtId="0" fontId="2" fillId="0" borderId="0"/>
    <xf numFmtId="0" fontId="1" fillId="0" borderId="0"/>
    <xf numFmtId="164" fontId="62" fillId="0" borderId="0" applyFont="0" applyFill="0" applyBorder="0" applyAlignment="0" applyProtection="0"/>
  </cellStyleXfs>
  <cellXfs count="503">
    <xf numFmtId="0" fontId="0" fillId="0" borderId="0" xfId="0"/>
    <xf numFmtId="0" fontId="37" fillId="4" borderId="65" xfId="0" applyFont="1" applyFill="1" applyBorder="1" applyAlignment="1">
      <alignment vertical="center" wrapText="1"/>
    </xf>
    <xf numFmtId="0" fontId="0" fillId="4" borderId="66" xfId="0" applyFill="1" applyBorder="1" applyAlignment="1">
      <alignment horizontal="center" vertical="center"/>
    </xf>
    <xf numFmtId="0" fontId="30" fillId="4" borderId="67" xfId="0" applyFont="1" applyFill="1" applyBorder="1" applyAlignment="1">
      <alignment horizontal="center" vertical="center"/>
    </xf>
    <xf numFmtId="0" fontId="39" fillId="0" borderId="68" xfId="0" applyFont="1" applyFill="1" applyBorder="1" applyAlignment="1">
      <alignment horizontal="left" vertical="center"/>
    </xf>
    <xf numFmtId="42" fontId="47" fillId="0" borderId="128" xfId="0" applyNumberFormat="1" applyFont="1" applyBorder="1"/>
    <xf numFmtId="42" fontId="47" fillId="0" borderId="129" xfId="0" applyNumberFormat="1" applyFont="1" applyBorder="1"/>
    <xf numFmtId="42" fontId="47" fillId="0" borderId="130" xfId="0" applyNumberFormat="1" applyFont="1" applyBorder="1"/>
    <xf numFmtId="0" fontId="48" fillId="0" borderId="131" xfId="0" applyFont="1" applyBorder="1" applyAlignment="1">
      <alignment horizontal="left" vertical="center"/>
    </xf>
    <xf numFmtId="0" fontId="48" fillId="0" borderId="132" xfId="0" applyFont="1" applyBorder="1" applyAlignment="1">
      <alignment horizontal="left" vertical="center"/>
    </xf>
    <xf numFmtId="0" fontId="48" fillId="0" borderId="133" xfId="0" applyFont="1" applyBorder="1" applyAlignment="1">
      <alignment horizontal="left" vertical="center"/>
    </xf>
    <xf numFmtId="2" fontId="48" fillId="0" borderId="133" xfId="0" applyNumberFormat="1" applyFont="1" applyBorder="1" applyAlignment="1">
      <alignment horizontal="left" vertical="center" wrapText="1"/>
    </xf>
    <xf numFmtId="0" fontId="48" fillId="0" borderId="134" xfId="0" applyFont="1" applyBorder="1" applyAlignment="1">
      <alignment horizontal="left" vertical="center"/>
    </xf>
    <xf numFmtId="42" fontId="47" fillId="0" borderId="67" xfId="0" applyNumberFormat="1" applyFont="1" applyBorder="1"/>
    <xf numFmtId="42" fontId="39" fillId="0" borderId="135" xfId="0" applyNumberFormat="1" applyFont="1" applyBorder="1" applyAlignment="1">
      <alignment horizontal="left" vertical="center"/>
    </xf>
    <xf numFmtId="42" fontId="39" fillId="0" borderId="136" xfId="0" applyNumberFormat="1" applyFont="1" applyBorder="1" applyAlignment="1">
      <alignment horizontal="left" vertical="center"/>
    </xf>
    <xf numFmtId="42" fontId="39" fillId="0" borderId="137" xfId="0" applyNumberFormat="1" applyFont="1" applyBorder="1" applyAlignment="1">
      <alignment horizontal="left" vertical="center"/>
    </xf>
    <xf numFmtId="42" fontId="0" fillId="0" borderId="0" xfId="0" applyNumberFormat="1"/>
    <xf numFmtId="44" fontId="49" fillId="4" borderId="66" xfId="0" applyNumberFormat="1" applyFont="1" applyFill="1" applyBorder="1" applyAlignment="1">
      <alignment vertical="center" wrapText="1"/>
    </xf>
    <xf numFmtId="0" fontId="0" fillId="16" borderId="20" xfId="0" applyFill="1" applyBorder="1" applyAlignment="1" applyProtection="1">
      <alignment horizontal="center" vertical="center"/>
      <protection locked="0"/>
    </xf>
    <xf numFmtId="0" fontId="0" fillId="0" borderId="21" xfId="0" applyBorder="1" applyAlignment="1">
      <alignment horizontal="center" vertical="center"/>
    </xf>
    <xf numFmtId="0" fontId="14" fillId="17" borderId="22" xfId="3" applyFont="1" applyFill="1" applyBorder="1" applyAlignment="1" applyProtection="1">
      <alignment horizontal="left" vertical="center" wrapText="1"/>
      <protection hidden="1"/>
    </xf>
    <xf numFmtId="0" fontId="16" fillId="18" borderId="23" xfId="3" applyFont="1" applyFill="1" applyBorder="1" applyAlignment="1" applyProtection="1">
      <alignment horizontal="left" vertical="center" wrapText="1"/>
      <protection hidden="1"/>
    </xf>
    <xf numFmtId="3" fontId="17" fillId="18" borderId="24" xfId="3" applyNumberFormat="1" applyFont="1" applyFill="1" applyBorder="1" applyAlignment="1" applyProtection="1">
      <alignment horizontal="right" vertical="center" wrapText="1"/>
      <protection hidden="1"/>
    </xf>
    <xf numFmtId="0" fontId="14" fillId="0" borderId="25" xfId="3" applyFont="1" applyBorder="1" applyAlignment="1" applyProtection="1">
      <alignment horizontal="left" vertical="center" wrapText="1"/>
      <protection hidden="1"/>
    </xf>
    <xf numFmtId="0" fontId="14" fillId="0" borderId="26" xfId="3" applyFont="1" applyFill="1" applyBorder="1" applyAlignment="1" applyProtection="1">
      <alignment horizontal="left" vertical="center" wrapText="1"/>
      <protection hidden="1"/>
    </xf>
    <xf numFmtId="0" fontId="11" fillId="18" borderId="27" xfId="3" applyFont="1" applyFill="1" applyBorder="1" applyAlignment="1" applyProtection="1">
      <alignment horizontal="center" vertical="center" wrapText="1"/>
      <protection hidden="1"/>
    </xf>
    <xf numFmtId="0" fontId="12" fillId="18" borderId="28" xfId="3" applyFont="1" applyFill="1" applyBorder="1" applyAlignment="1" applyProtection="1">
      <alignment horizontal="center" vertical="top" wrapText="1"/>
      <protection hidden="1"/>
    </xf>
    <xf numFmtId="0" fontId="13" fillId="18" borderId="29" xfId="3" applyFont="1" applyFill="1" applyBorder="1" applyAlignment="1" applyProtection="1">
      <alignment horizontal="center" vertical="center" wrapText="1"/>
      <protection hidden="1"/>
    </xf>
    <xf numFmtId="3" fontId="15" fillId="17" borderId="30" xfId="3" applyNumberFormat="1" applyFont="1" applyFill="1" applyBorder="1" applyAlignment="1" applyProtection="1">
      <alignment horizontal="right" vertical="center" wrapText="1"/>
      <protection hidden="1"/>
    </xf>
    <xf numFmtId="3" fontId="15" fillId="17" borderId="31" xfId="3" applyNumberFormat="1" applyFont="1" applyFill="1" applyBorder="1" applyAlignment="1" applyProtection="1">
      <alignment horizontal="right" vertical="center" wrapText="1"/>
      <protection hidden="1"/>
    </xf>
    <xf numFmtId="3" fontId="15" fillId="0" borderId="28" xfId="3" applyNumberFormat="1" applyFont="1" applyFill="1" applyBorder="1" applyAlignment="1" applyProtection="1">
      <alignment horizontal="right" vertical="center" wrapText="1"/>
      <protection hidden="1"/>
    </xf>
    <xf numFmtId="3" fontId="15" fillId="0" borderId="32" xfId="3" applyNumberFormat="1" applyFont="1" applyFill="1" applyBorder="1" applyAlignment="1" applyProtection="1">
      <alignment horizontal="right" vertical="center" wrapText="1"/>
      <protection hidden="1"/>
    </xf>
    <xf numFmtId="0" fontId="0" fillId="0" borderId="33" xfId="0" applyBorder="1" applyAlignment="1" applyProtection="1">
      <alignment vertical="center"/>
    </xf>
    <xf numFmtId="0" fontId="0" fillId="0" borderId="34" xfId="0" applyBorder="1" applyAlignment="1" applyProtection="1">
      <alignment vertical="center"/>
    </xf>
    <xf numFmtId="49" fontId="18" fillId="0" borderId="33" xfId="1" applyNumberFormat="1" applyFont="1" applyFill="1" applyBorder="1" applyAlignment="1" applyProtection="1">
      <alignment vertical="center"/>
    </xf>
    <xf numFmtId="49" fontId="18" fillId="0" borderId="141" xfId="1" applyNumberFormat="1" applyFont="1" applyFill="1" applyBorder="1" applyAlignment="1" applyProtection="1">
      <alignment vertical="center"/>
    </xf>
    <xf numFmtId="0" fontId="51" fillId="0" borderId="33" xfId="1" applyFont="1" applyFill="1" applyBorder="1" applyAlignment="1" applyProtection="1">
      <alignment horizontal="center" vertical="center" wrapText="1"/>
      <protection hidden="1"/>
    </xf>
    <xf numFmtId="167" fontId="18" fillId="0" borderId="33" xfId="1" applyNumberFormat="1" applyFont="1" applyFill="1" applyBorder="1" applyAlignment="1" applyProtection="1">
      <alignment horizontal="center" vertical="center" wrapText="1"/>
    </xf>
    <xf numFmtId="49" fontId="18" fillId="0" borderId="33" xfId="1" applyNumberFormat="1" applyFont="1" applyFill="1" applyBorder="1" applyAlignment="1" applyProtection="1">
      <alignment vertical="center"/>
      <protection locked="0"/>
    </xf>
    <xf numFmtId="0" fontId="18" fillId="0" borderId="33" xfId="1" applyFont="1" applyFill="1" applyBorder="1" applyAlignment="1" applyProtection="1">
      <alignment horizontal="center" vertical="center" wrapText="1"/>
      <protection locked="0"/>
    </xf>
    <xf numFmtId="167" fontId="18" fillId="0" borderId="33" xfId="1" applyNumberFormat="1" applyFont="1" applyFill="1" applyBorder="1" applyAlignment="1" applyProtection="1">
      <alignment horizontal="center" vertical="center" wrapText="1"/>
      <protection locked="0"/>
    </xf>
    <xf numFmtId="1" fontId="18" fillId="0" borderId="33" xfId="1" applyNumberFormat="1" applyFont="1" applyFill="1" applyBorder="1" applyAlignment="1" applyProtection="1">
      <alignment horizontal="center" vertical="center" wrapText="1"/>
      <protection locked="0"/>
    </xf>
    <xf numFmtId="49" fontId="19" fillId="19" borderId="35" xfId="1" applyNumberFormat="1" applyFont="1" applyFill="1" applyBorder="1" applyAlignment="1" applyProtection="1">
      <alignment horizontal="center" vertical="center"/>
      <protection hidden="1"/>
    </xf>
    <xf numFmtId="49" fontId="19" fillId="19" borderId="36" xfId="1" applyNumberFormat="1" applyFont="1" applyFill="1" applyBorder="1" applyAlignment="1" applyProtection="1">
      <alignment horizontal="left" vertical="center"/>
      <protection hidden="1"/>
    </xf>
    <xf numFmtId="0" fontId="19" fillId="19" borderId="36" xfId="1" applyFont="1" applyFill="1" applyBorder="1" applyAlignment="1" applyProtection="1">
      <alignment horizontal="center" vertical="center" wrapText="1"/>
      <protection hidden="1"/>
    </xf>
    <xf numFmtId="167" fontId="20" fillId="5" borderId="36" xfId="1" applyNumberFormat="1" applyFont="1" applyFill="1" applyBorder="1" applyAlignment="1" applyProtection="1">
      <alignment horizontal="center" vertical="center" wrapText="1"/>
      <protection hidden="1"/>
    </xf>
    <xf numFmtId="3" fontId="20" fillId="19" borderId="37" xfId="1" applyNumberFormat="1" applyFont="1" applyFill="1" applyBorder="1" applyAlignment="1" applyProtection="1">
      <alignment horizontal="center" vertical="center" wrapText="1"/>
      <protection hidden="1"/>
    </xf>
    <xf numFmtId="49" fontId="21" fillId="0" borderId="38" xfId="1" applyNumberFormat="1" applyFont="1" applyFill="1" applyBorder="1" applyAlignment="1" applyProtection="1">
      <alignment horizontal="center" vertical="center"/>
      <protection locked="0" hidden="1"/>
    </xf>
    <xf numFmtId="49" fontId="18" fillId="0" borderId="33" xfId="1" applyNumberFormat="1" applyFont="1" applyFill="1" applyBorder="1" applyAlignment="1" applyProtection="1">
      <alignment vertical="center"/>
      <protection locked="0" hidden="1"/>
    </xf>
    <xf numFmtId="3" fontId="18" fillId="0" borderId="13" xfId="1" applyNumberFormat="1" applyFont="1" applyFill="1" applyBorder="1" applyAlignment="1" applyProtection="1">
      <alignment horizontal="right" vertical="center" wrapText="1"/>
      <protection locked="0" hidden="1"/>
    </xf>
    <xf numFmtId="49" fontId="21" fillId="0" borderId="39" xfId="1" applyNumberFormat="1" applyFont="1" applyFill="1" applyBorder="1" applyAlignment="1" applyProtection="1">
      <alignment horizontal="center" vertical="center"/>
      <protection locked="0"/>
    </xf>
    <xf numFmtId="49" fontId="19" fillId="19" borderId="35" xfId="1" applyNumberFormat="1" applyFont="1" applyFill="1" applyBorder="1" applyAlignment="1" applyProtection="1">
      <alignment horizontal="center" vertical="center"/>
    </xf>
    <xf numFmtId="49" fontId="19" fillId="19" borderId="36" xfId="1" applyNumberFormat="1" applyFont="1" applyFill="1" applyBorder="1" applyAlignment="1" applyProtection="1">
      <alignment horizontal="left" vertical="center"/>
    </xf>
    <xf numFmtId="0" fontId="19" fillId="19" borderId="36" xfId="1" applyFont="1" applyFill="1" applyBorder="1" applyAlignment="1" applyProtection="1">
      <alignment horizontal="center" vertical="center" wrapText="1"/>
    </xf>
    <xf numFmtId="3" fontId="20" fillId="19" borderId="37" xfId="1" applyNumberFormat="1" applyFont="1" applyFill="1" applyBorder="1" applyAlignment="1" applyProtection="1">
      <alignment horizontal="center" vertical="center" wrapText="1"/>
    </xf>
    <xf numFmtId="49" fontId="21" fillId="0" borderId="38" xfId="1" applyNumberFormat="1" applyFont="1" applyFill="1" applyBorder="1" applyAlignment="1" applyProtection="1">
      <alignment horizontal="center" vertical="center"/>
    </xf>
    <xf numFmtId="3" fontId="18" fillId="0" borderId="13" xfId="1" applyNumberFormat="1" applyFont="1" applyFill="1" applyBorder="1" applyAlignment="1" applyProtection="1">
      <alignment horizontal="right" vertical="center" wrapText="1"/>
    </xf>
    <xf numFmtId="49" fontId="21" fillId="0" borderId="38" xfId="1" applyNumberFormat="1" applyFont="1" applyFill="1" applyBorder="1" applyAlignment="1" applyProtection="1">
      <alignment horizontal="center" vertical="center"/>
      <protection locked="0"/>
    </xf>
    <xf numFmtId="3" fontId="18" fillId="0" borderId="13" xfId="1" applyNumberFormat="1" applyFont="1" applyFill="1" applyBorder="1" applyAlignment="1" applyProtection="1">
      <alignment horizontal="right" vertical="center" wrapText="1"/>
      <protection locked="0"/>
    </xf>
    <xf numFmtId="0" fontId="0" fillId="0" borderId="38" xfId="0" applyBorder="1"/>
    <xf numFmtId="0" fontId="0" fillId="0" borderId="33" xfId="0" applyBorder="1"/>
    <xf numFmtId="0" fontId="0" fillId="0" borderId="34" xfId="0" applyBorder="1"/>
    <xf numFmtId="3" fontId="0" fillId="0" borderId="14" xfId="0" applyNumberFormat="1" applyBorder="1"/>
    <xf numFmtId="42" fontId="0" fillId="0" borderId="13" xfId="0" applyNumberFormat="1" applyBorder="1"/>
    <xf numFmtId="168" fontId="0" fillId="0" borderId="14" xfId="0" applyNumberFormat="1" applyBorder="1"/>
    <xf numFmtId="0" fontId="26" fillId="0" borderId="38" xfId="0" applyFont="1" applyBorder="1" applyAlignment="1">
      <alignment horizontal="left" vertical="center"/>
    </xf>
    <xf numFmtId="0" fontId="27" fillId="0" borderId="0" xfId="0" applyFont="1"/>
    <xf numFmtId="0" fontId="27" fillId="0" borderId="38" xfId="0" applyFont="1" applyBorder="1"/>
    <xf numFmtId="14" fontId="28" fillId="20" borderId="13" xfId="2" applyNumberFormat="1" applyFill="1" applyBorder="1" applyAlignment="1" applyProtection="1">
      <alignment vertical="center"/>
      <protection locked="0"/>
    </xf>
    <xf numFmtId="0" fontId="27" fillId="0" borderId="0" xfId="2" applyFont="1"/>
    <xf numFmtId="0" fontId="27" fillId="0" borderId="39" xfId="0" applyFont="1" applyBorder="1"/>
    <xf numFmtId="14" fontId="28" fillId="20" borderId="14" xfId="2" applyNumberFormat="1" applyFill="1" applyBorder="1" applyAlignment="1" applyProtection="1">
      <alignment vertical="center"/>
      <protection locked="0"/>
    </xf>
    <xf numFmtId="0" fontId="28" fillId="0" borderId="0" xfId="2" applyBorder="1" applyAlignment="1">
      <alignment vertical="center"/>
    </xf>
    <xf numFmtId="0" fontId="27" fillId="0" borderId="0" xfId="0" applyFont="1" applyAlignment="1">
      <alignment horizontal="right"/>
    </xf>
    <xf numFmtId="14" fontId="27" fillId="0" borderId="0" xfId="0" applyNumberFormat="1" applyFont="1" applyAlignment="1">
      <alignment horizontal="center" vertical="center"/>
    </xf>
    <xf numFmtId="0" fontId="27" fillId="0" borderId="0" xfId="0" applyFont="1" applyAlignment="1"/>
    <xf numFmtId="42" fontId="39" fillId="0" borderId="69" xfId="0" applyNumberFormat="1" applyFont="1" applyBorder="1" applyAlignment="1">
      <alignment horizontal="left" vertical="center"/>
    </xf>
    <xf numFmtId="0" fontId="0" fillId="0" borderId="171" xfId="0" applyBorder="1"/>
    <xf numFmtId="49" fontId="21" fillId="0" borderId="35" xfId="1" applyNumberFormat="1" applyFont="1" applyFill="1" applyBorder="1" applyAlignment="1" applyProtection="1">
      <alignment horizontal="center" vertical="center"/>
      <protection locked="0"/>
    </xf>
    <xf numFmtId="49" fontId="21" fillId="0" borderId="174" xfId="1" applyNumberFormat="1" applyFont="1" applyFill="1" applyBorder="1" applyAlignment="1" applyProtection="1">
      <alignment horizontal="center" vertical="center"/>
      <protection locked="0"/>
    </xf>
    <xf numFmtId="49" fontId="21" fillId="0" borderId="168" xfId="1" applyNumberFormat="1" applyFont="1" applyFill="1" applyBorder="1" applyAlignment="1" applyProtection="1">
      <alignment horizontal="center" vertical="center"/>
      <protection locked="0"/>
    </xf>
    <xf numFmtId="6" fontId="31" fillId="15" borderId="163" xfId="0" applyNumberFormat="1" applyFont="1" applyFill="1" applyBorder="1" applyAlignment="1" applyProtection="1">
      <alignment horizontal="right" vertical="center"/>
    </xf>
    <xf numFmtId="6" fontId="0" fillId="0" borderId="163" xfId="0" applyNumberFormat="1" applyBorder="1" applyAlignment="1" applyProtection="1">
      <alignment horizontal="right" vertical="center"/>
    </xf>
    <xf numFmtId="42" fontId="63" fillId="0" borderId="130" xfId="0" applyNumberFormat="1" applyFont="1" applyBorder="1"/>
    <xf numFmtId="0" fontId="60" fillId="0" borderId="0" xfId="0" applyFont="1"/>
    <xf numFmtId="0" fontId="48" fillId="18" borderId="35" xfId="0" applyFont="1" applyFill="1" applyBorder="1" applyAlignment="1">
      <alignment horizontal="left" vertical="center"/>
    </xf>
    <xf numFmtId="0" fontId="48" fillId="18" borderId="164" xfId="0" applyFont="1" applyFill="1" applyBorder="1" applyAlignment="1">
      <alignment horizontal="left" vertical="center"/>
    </xf>
    <xf numFmtId="2" fontId="48" fillId="18" borderId="164" xfId="0" applyNumberFormat="1" applyFont="1" applyFill="1" applyBorder="1" applyAlignment="1">
      <alignment horizontal="left" vertical="center" wrapText="1"/>
    </xf>
    <xf numFmtId="0" fontId="48" fillId="18" borderId="165" xfId="0" applyFont="1" applyFill="1" applyBorder="1" applyAlignment="1">
      <alignment horizontal="left" vertical="center"/>
    </xf>
    <xf numFmtId="0" fontId="64" fillId="0" borderId="0" xfId="0" applyFont="1"/>
    <xf numFmtId="0" fontId="0" fillId="18" borderId="168" xfId="0" applyFill="1" applyBorder="1"/>
    <xf numFmtId="0" fontId="0" fillId="0" borderId="166" xfId="0" applyBorder="1" applyAlignment="1" applyProtection="1">
      <alignment vertical="center"/>
    </xf>
    <xf numFmtId="6" fontId="0" fillId="0" borderId="167" xfId="0" applyNumberFormat="1" applyBorder="1" applyAlignment="1" applyProtection="1">
      <alignment horizontal="right" vertical="center"/>
    </xf>
    <xf numFmtId="0" fontId="0" fillId="0" borderId="166" xfId="0" applyBorder="1" applyAlignment="1" applyProtection="1">
      <alignment vertical="center" wrapText="1"/>
    </xf>
    <xf numFmtId="0" fontId="0" fillId="0" borderId="164" xfId="0" applyBorder="1" applyAlignment="1">
      <alignment horizontal="left" vertical="center"/>
    </xf>
    <xf numFmtId="0" fontId="0" fillId="0" borderId="39" xfId="0" applyBorder="1" applyAlignment="1">
      <alignment horizontal="left" vertical="center"/>
    </xf>
    <xf numFmtId="0" fontId="0" fillId="0" borderId="177" xfId="0" applyBorder="1" applyAlignment="1">
      <alignment horizontal="left" vertical="center"/>
    </xf>
    <xf numFmtId="0" fontId="31" fillId="18" borderId="179" xfId="0" applyFont="1" applyFill="1" applyBorder="1" applyAlignment="1">
      <alignment vertical="center"/>
    </xf>
    <xf numFmtId="0" fontId="53" fillId="0" borderId="0" xfId="0" applyFont="1" applyFill="1" applyBorder="1" applyAlignment="1">
      <alignment horizontal="right" vertical="top" wrapText="1"/>
    </xf>
    <xf numFmtId="6" fontId="31" fillId="20" borderId="37" xfId="0" applyNumberFormat="1" applyFont="1" applyFill="1" applyBorder="1" applyAlignment="1" applyProtection="1">
      <alignment horizontal="right" vertical="center"/>
    </xf>
    <xf numFmtId="6" fontId="0" fillId="0" borderId="14" xfId="0" applyNumberFormat="1" applyBorder="1" applyAlignment="1" applyProtection="1">
      <alignment horizontal="right" vertical="center"/>
    </xf>
    <xf numFmtId="166" fontId="31" fillId="18" borderId="180" xfId="0" applyNumberFormat="1" applyFont="1" applyFill="1" applyBorder="1" applyAlignment="1">
      <alignment vertical="center"/>
    </xf>
    <xf numFmtId="166" fontId="0" fillId="0" borderId="178" xfId="0" applyNumberFormat="1" applyBorder="1" applyAlignment="1">
      <alignment horizontal="right" vertical="center"/>
    </xf>
    <xf numFmtId="166" fontId="0" fillId="0" borderId="163" xfId="0" applyNumberFormat="1" applyBorder="1" applyAlignment="1">
      <alignment horizontal="right" vertical="center"/>
    </xf>
    <xf numFmtId="166" fontId="0" fillId="0" borderId="14" xfId="0" applyNumberFormat="1" applyBorder="1" applyAlignment="1">
      <alignment horizontal="right" vertical="center"/>
    </xf>
    <xf numFmtId="166" fontId="47" fillId="0" borderId="37" xfId="0" applyNumberFormat="1" applyFont="1" applyBorder="1"/>
    <xf numFmtId="166" fontId="47" fillId="0" borderId="163" xfId="0" applyNumberFormat="1" applyFont="1" applyBorder="1"/>
    <xf numFmtId="166" fontId="63" fillId="0" borderId="163" xfId="0" applyNumberFormat="1" applyFont="1" applyBorder="1"/>
    <xf numFmtId="166" fontId="47" fillId="0" borderId="167" xfId="0" applyNumberFormat="1" applyFont="1" applyBorder="1"/>
    <xf numFmtId="166" fontId="31" fillId="20" borderId="170" xfId="0" applyNumberFormat="1" applyFont="1" applyFill="1" applyBorder="1"/>
    <xf numFmtId="0" fontId="0" fillId="0" borderId="0" xfId="0" applyProtection="1"/>
    <xf numFmtId="44" fontId="38" fillId="0" borderId="16" xfId="0" applyNumberFormat="1" applyFont="1" applyBorder="1" applyAlignment="1" applyProtection="1">
      <alignment horizontal="right" vertical="center"/>
    </xf>
    <xf numFmtId="0" fontId="36" fillId="0" borderId="62" xfId="0" applyFont="1" applyBorder="1" applyAlignment="1" applyProtection="1">
      <alignment horizontal="center" vertical="top"/>
    </xf>
    <xf numFmtId="0" fontId="36" fillId="0" borderId="61" xfId="0" applyFont="1" applyBorder="1" applyAlignment="1" applyProtection="1">
      <alignment horizontal="left" vertical="center" wrapText="1"/>
    </xf>
    <xf numFmtId="165" fontId="36" fillId="0" borderId="61" xfId="0" applyNumberFormat="1" applyFont="1" applyBorder="1" applyAlignment="1" applyProtection="1">
      <alignment horizontal="left" vertical="center" wrapText="1"/>
    </xf>
    <xf numFmtId="0" fontId="41" fillId="0" borderId="70" xfId="0" applyFont="1" applyBorder="1" applyAlignment="1" applyProtection="1">
      <alignment horizontal="left" vertical="center" wrapText="1"/>
    </xf>
    <xf numFmtId="0" fontId="3" fillId="0" borderId="15" xfId="0" applyFont="1" applyBorder="1" applyAlignment="1" applyProtection="1">
      <alignment horizontal="center" vertical="center" wrapText="1"/>
    </xf>
    <xf numFmtId="0" fontId="45" fillId="14" borderId="140" xfId="0" applyFont="1" applyFill="1" applyBorder="1" applyAlignment="1" applyProtection="1">
      <alignment horizontal="center" vertical="center"/>
    </xf>
    <xf numFmtId="0" fontId="45" fillId="14" borderId="123" xfId="0" applyFont="1" applyFill="1" applyBorder="1" applyAlignment="1" applyProtection="1">
      <alignment horizontal="center" vertical="center"/>
    </xf>
    <xf numFmtId="0" fontId="45" fillId="14" borderId="124" xfId="0" applyFont="1" applyFill="1" applyBorder="1" applyAlignment="1" applyProtection="1">
      <alignment horizontal="center" vertical="center"/>
    </xf>
    <xf numFmtId="0" fontId="45" fillId="14" borderId="125" xfId="0" applyFont="1" applyFill="1" applyBorder="1" applyAlignment="1" applyProtection="1">
      <alignment horizontal="center" vertical="center"/>
    </xf>
    <xf numFmtId="2" fontId="45" fillId="14" borderId="123" xfId="0" applyNumberFormat="1" applyFont="1" applyFill="1" applyBorder="1" applyAlignment="1" applyProtection="1">
      <alignment horizontal="center" vertical="center" wrapText="1"/>
    </xf>
    <xf numFmtId="0" fontId="45" fillId="14" borderId="126" xfId="0" applyFont="1" applyFill="1" applyBorder="1" applyAlignment="1" applyProtection="1">
      <alignment horizontal="center" vertical="center"/>
    </xf>
    <xf numFmtId="42" fontId="45" fillId="14" borderId="138" xfId="0" applyNumberFormat="1" applyFont="1" applyFill="1" applyBorder="1" applyAlignment="1" applyProtection="1">
      <alignment horizontal="center" vertical="center"/>
    </xf>
    <xf numFmtId="0" fontId="41" fillId="0" borderId="71" xfId="0" applyFont="1" applyBorder="1" applyAlignment="1" applyProtection="1">
      <alignment horizontal="left" vertical="center" wrapText="1"/>
    </xf>
    <xf numFmtId="3" fontId="41" fillId="0" borderId="87" xfId="0" applyNumberFormat="1" applyFont="1" applyBorder="1" applyAlignment="1" applyProtection="1">
      <alignment horizontal="center" vertical="center"/>
    </xf>
    <xf numFmtId="3" fontId="41" fillId="0" borderId="73" xfId="0" applyNumberFormat="1" applyFont="1" applyBorder="1" applyAlignment="1" applyProtection="1">
      <alignment horizontal="center" vertical="center"/>
    </xf>
    <xf numFmtId="3" fontId="41" fillId="0" borderId="88" xfId="0" applyNumberFormat="1" applyFont="1" applyBorder="1" applyAlignment="1" applyProtection="1">
      <alignment horizontal="center" vertical="center"/>
    </xf>
    <xf numFmtId="3" fontId="41" fillId="0" borderId="83" xfId="0" applyNumberFormat="1" applyFont="1" applyBorder="1" applyAlignment="1" applyProtection="1">
      <alignment horizontal="center" vertical="center"/>
    </xf>
    <xf numFmtId="3" fontId="41" fillId="0" borderId="72" xfId="0" applyNumberFormat="1" applyFont="1" applyBorder="1" applyAlignment="1" applyProtection="1">
      <alignment horizontal="center" vertical="center"/>
    </xf>
    <xf numFmtId="42" fontId="46" fillId="0" borderId="76" xfId="0" applyNumberFormat="1" applyFont="1" applyBorder="1" applyAlignment="1" applyProtection="1">
      <alignment horizontal="center" vertical="center"/>
    </xf>
    <xf numFmtId="42" fontId="46" fillId="0" borderId="77" xfId="0" applyNumberFormat="1" applyFont="1" applyBorder="1" applyAlignment="1" applyProtection="1">
      <alignment horizontal="center" vertical="center"/>
    </xf>
    <xf numFmtId="42" fontId="46" fillId="0" borderId="127" xfId="0" applyNumberFormat="1" applyFont="1" applyBorder="1" applyAlignment="1" applyProtection="1">
      <alignment horizontal="center" vertical="center"/>
    </xf>
    <xf numFmtId="42" fontId="46" fillId="0" borderId="82" xfId="0" applyNumberFormat="1" applyFont="1" applyBorder="1" applyAlignment="1" applyProtection="1">
      <alignment horizontal="center" vertical="center"/>
    </xf>
    <xf numFmtId="9" fontId="45" fillId="14" borderId="139" xfId="0" applyNumberFormat="1" applyFont="1" applyFill="1" applyBorder="1" applyAlignment="1" applyProtection="1">
      <alignment horizontal="center" vertical="center"/>
    </xf>
    <xf numFmtId="0" fontId="43" fillId="8" borderId="95" xfId="0" applyFont="1" applyFill="1" applyBorder="1" applyAlignment="1" applyProtection="1">
      <alignment horizontal="center" vertical="center"/>
    </xf>
    <xf numFmtId="3" fontId="40" fillId="8" borderId="89" xfId="0" applyNumberFormat="1" applyFont="1" applyFill="1" applyBorder="1" applyAlignment="1" applyProtection="1">
      <alignment horizontal="right" vertical="center"/>
    </xf>
    <xf numFmtId="3" fontId="40" fillId="8" borderId="78" xfId="0" applyNumberFormat="1" applyFont="1" applyFill="1" applyBorder="1" applyAlignment="1" applyProtection="1">
      <alignment horizontal="right" vertical="center"/>
    </xf>
    <xf numFmtId="3" fontId="40" fillId="8" borderId="90" xfId="0" applyNumberFormat="1" applyFont="1" applyFill="1" applyBorder="1" applyAlignment="1" applyProtection="1">
      <alignment horizontal="right" vertical="center"/>
    </xf>
    <xf numFmtId="3" fontId="40" fillId="8" borderId="79" xfId="0" applyNumberFormat="1" applyFont="1" applyFill="1" applyBorder="1" applyAlignment="1" applyProtection="1">
      <alignment horizontal="right" vertical="center"/>
    </xf>
    <xf numFmtId="3" fontId="40" fillId="8" borderId="84" xfId="0" applyNumberFormat="1" applyFont="1" applyFill="1" applyBorder="1" applyAlignment="1" applyProtection="1">
      <alignment horizontal="right" vertical="center"/>
    </xf>
    <xf numFmtId="0" fontId="42" fillId="8" borderId="80" xfId="0" applyFont="1" applyFill="1" applyBorder="1" applyAlignment="1" applyProtection="1">
      <alignment horizontal="center" vertical="center"/>
    </xf>
    <xf numFmtId="0" fontId="32" fillId="3" borderId="9" xfId="0" applyFont="1" applyFill="1" applyBorder="1" applyAlignment="1" applyProtection="1">
      <alignment vertical="center"/>
    </xf>
    <xf numFmtId="0" fontId="36" fillId="0" borderId="63" xfId="0" applyFont="1" applyBorder="1" applyAlignment="1" applyProtection="1">
      <alignment horizontal="center" vertical="center"/>
    </xf>
    <xf numFmtId="0" fontId="36" fillId="0" borderId="64" xfId="0" applyFont="1" applyBorder="1" applyAlignment="1" applyProtection="1">
      <alignment horizontal="center" vertical="center"/>
    </xf>
    <xf numFmtId="0" fontId="41" fillId="10" borderId="104" xfId="0" applyFont="1" applyFill="1" applyBorder="1" applyAlignment="1" applyProtection="1">
      <alignment horizontal="center" vertical="center"/>
    </xf>
    <xf numFmtId="0" fontId="36" fillId="10" borderId="103" xfId="0" applyFont="1" applyFill="1" applyBorder="1" applyAlignment="1" applyProtection="1">
      <alignment horizontal="center" vertical="center"/>
    </xf>
    <xf numFmtId="42" fontId="0" fillId="0" borderId="0" xfId="0" applyNumberFormat="1" applyProtection="1"/>
    <xf numFmtId="0" fontId="43" fillId="7" borderId="95" xfId="0" applyFont="1" applyFill="1" applyBorder="1" applyAlignment="1" applyProtection="1">
      <alignment horizontal="center" vertical="center"/>
    </xf>
    <xf numFmtId="3" fontId="40" fillId="7" borderId="89" xfId="0" applyNumberFormat="1" applyFont="1" applyFill="1" applyBorder="1" applyAlignment="1" applyProtection="1">
      <alignment horizontal="right" vertical="center"/>
    </xf>
    <xf numFmtId="3" fontId="40" fillId="7" borderId="78" xfId="0" applyNumberFormat="1" applyFont="1" applyFill="1" applyBorder="1" applyAlignment="1" applyProtection="1">
      <alignment horizontal="right" vertical="center"/>
    </xf>
    <xf numFmtId="3" fontId="40" fillId="7" borderId="90" xfId="0" applyNumberFormat="1" applyFont="1" applyFill="1" applyBorder="1" applyAlignment="1" applyProtection="1">
      <alignment horizontal="right" vertical="center"/>
    </xf>
    <xf numFmtId="3" fontId="40" fillId="7" borderId="79" xfId="0" applyNumberFormat="1" applyFont="1" applyFill="1" applyBorder="1" applyAlignment="1" applyProtection="1">
      <alignment horizontal="right" vertical="center"/>
    </xf>
    <xf numFmtId="3" fontId="40" fillId="7" borderId="84" xfId="0" applyNumberFormat="1" applyFont="1" applyFill="1" applyBorder="1" applyAlignment="1" applyProtection="1">
      <alignment horizontal="right" vertical="center"/>
    </xf>
    <xf numFmtId="3" fontId="42" fillId="7" borderId="80" xfId="0" applyNumberFormat="1" applyFont="1" applyFill="1" applyBorder="1" applyAlignment="1" applyProtection="1">
      <alignment horizontal="center" vertical="center"/>
    </xf>
    <xf numFmtId="42" fontId="31" fillId="0" borderId="4" xfId="0" applyNumberFormat="1" applyFont="1" applyBorder="1" applyAlignment="1" applyProtection="1">
      <alignment horizontal="center" vertical="center" wrapText="1"/>
    </xf>
    <xf numFmtId="0" fontId="36" fillId="0" borderId="119" xfId="0" applyFont="1" applyBorder="1" applyAlignment="1" applyProtection="1">
      <alignment horizontal="center" vertical="center"/>
    </xf>
    <xf numFmtId="0" fontId="36" fillId="0" borderId="60" xfId="0" applyFont="1" applyBorder="1" applyAlignment="1" applyProtection="1">
      <alignment horizontal="center" vertical="center"/>
    </xf>
    <xf numFmtId="0" fontId="41" fillId="8" borderId="100" xfId="0" applyFont="1" applyFill="1" applyBorder="1" applyAlignment="1" applyProtection="1">
      <alignment horizontal="center" vertical="center"/>
    </xf>
    <xf numFmtId="0" fontId="41" fillId="7" borderId="100" xfId="0" applyFont="1" applyFill="1" applyBorder="1" applyAlignment="1" applyProtection="1">
      <alignment horizontal="center" vertical="center"/>
    </xf>
    <xf numFmtId="0" fontId="41" fillId="5" borderId="100" xfId="0" applyFont="1" applyFill="1" applyBorder="1" applyAlignment="1" applyProtection="1">
      <alignment horizontal="center" vertical="center"/>
    </xf>
    <xf numFmtId="0" fontId="41" fillId="11" borderId="100" xfId="0" applyFont="1" applyFill="1" applyBorder="1" applyAlignment="1" applyProtection="1">
      <alignment horizontal="center" vertical="center"/>
    </xf>
    <xf numFmtId="0" fontId="41" fillId="12" borderId="100" xfId="0" applyFont="1" applyFill="1" applyBorder="1" applyAlignment="1" applyProtection="1">
      <alignment horizontal="center" vertical="center"/>
    </xf>
    <xf numFmtId="0" fontId="41" fillId="12" borderId="115" xfId="0" applyFont="1" applyFill="1" applyBorder="1" applyAlignment="1" applyProtection="1">
      <alignment horizontal="center" vertical="center"/>
    </xf>
    <xf numFmtId="0" fontId="41" fillId="9" borderId="101" xfId="0" applyFont="1" applyFill="1" applyBorder="1" applyAlignment="1" applyProtection="1">
      <alignment horizontal="center" vertical="center"/>
    </xf>
    <xf numFmtId="2" fontId="41" fillId="9" borderId="100" xfId="0" applyNumberFormat="1" applyFont="1" applyFill="1" applyBorder="1" applyAlignment="1" applyProtection="1">
      <alignment horizontal="center" vertical="center" wrapText="1"/>
    </xf>
    <xf numFmtId="0" fontId="41" fillId="9" borderId="102" xfId="0" applyFont="1" applyFill="1" applyBorder="1" applyAlignment="1" applyProtection="1">
      <alignment horizontal="center" vertical="center"/>
    </xf>
    <xf numFmtId="0" fontId="44" fillId="5" borderId="96" xfId="0" applyFont="1" applyFill="1" applyBorder="1" applyAlignment="1" applyProtection="1">
      <alignment horizontal="center" vertical="center"/>
    </xf>
    <xf numFmtId="3" fontId="40" fillId="5" borderId="91" xfId="0" applyNumberFormat="1" applyFont="1" applyFill="1" applyBorder="1" applyAlignment="1" applyProtection="1">
      <alignment horizontal="right" vertical="center"/>
    </xf>
    <xf numFmtId="3" fontId="40" fillId="5" borderId="74" xfId="0" applyNumberFormat="1" applyFont="1" applyFill="1" applyBorder="1" applyAlignment="1" applyProtection="1">
      <alignment horizontal="right" vertical="center"/>
    </xf>
    <xf numFmtId="3" fontId="40" fillId="5" borderId="92" xfId="0" applyNumberFormat="1" applyFont="1" applyFill="1" applyBorder="1" applyAlignment="1" applyProtection="1">
      <alignment horizontal="right" vertical="center"/>
    </xf>
    <xf numFmtId="3" fontId="40" fillId="5" borderId="75" xfId="0" applyNumberFormat="1" applyFont="1" applyFill="1" applyBorder="1" applyAlignment="1" applyProtection="1">
      <alignment horizontal="right" vertical="center"/>
    </xf>
    <xf numFmtId="3" fontId="40" fillId="5" borderId="85" xfId="0" applyNumberFormat="1" applyFont="1" applyFill="1" applyBorder="1" applyAlignment="1" applyProtection="1">
      <alignment horizontal="right" vertical="center"/>
    </xf>
    <xf numFmtId="3" fontId="42" fillId="5" borderId="81" xfId="0" applyNumberFormat="1" applyFont="1" applyFill="1" applyBorder="1" applyAlignment="1" applyProtection="1">
      <alignment horizontal="center" vertical="center"/>
    </xf>
    <xf numFmtId="49" fontId="32" fillId="2" borderId="10" xfId="0" applyNumberFormat="1" applyFont="1" applyFill="1" applyBorder="1" applyAlignment="1" applyProtection="1">
      <alignment horizontal="left" vertical="center"/>
    </xf>
    <xf numFmtId="0" fontId="33" fillId="0" borderId="3" xfId="0" applyFont="1" applyBorder="1" applyAlignment="1" applyProtection="1">
      <alignment horizontal="center" wrapText="1"/>
    </xf>
    <xf numFmtId="0" fontId="0" fillId="0" borderId="98" xfId="0" applyBorder="1" applyAlignment="1" applyProtection="1">
      <alignment wrapText="1"/>
    </xf>
    <xf numFmtId="0" fontId="0" fillId="0" borderId="99" xfId="0" applyBorder="1" applyAlignment="1" applyProtection="1">
      <alignment wrapText="1"/>
    </xf>
    <xf numFmtId="42" fontId="36" fillId="0" borderId="110" xfId="0" applyNumberFormat="1" applyFont="1" applyBorder="1" applyAlignment="1" applyProtection="1">
      <alignment horizontal="center" vertical="center"/>
    </xf>
    <xf numFmtId="42" fontId="36" fillId="0" borderId="111" xfId="0" applyNumberFormat="1" applyFont="1" applyBorder="1" applyAlignment="1" applyProtection="1">
      <alignment horizontal="center" vertical="center"/>
    </xf>
    <xf numFmtId="42" fontId="36" fillId="0" borderId="112" xfId="0" applyNumberFormat="1" applyFont="1" applyBorder="1" applyAlignment="1" applyProtection="1">
      <alignment horizontal="center" vertical="center"/>
    </xf>
    <xf numFmtId="42" fontId="36" fillId="13" borderId="116" xfId="0" applyNumberFormat="1" applyFont="1" applyFill="1" applyBorder="1" applyAlignment="1" applyProtection="1">
      <alignment horizontal="center" vertical="center"/>
    </xf>
    <xf numFmtId="42" fontId="36" fillId="13" borderId="117" xfId="0" applyNumberFormat="1" applyFont="1" applyFill="1" applyBorder="1" applyAlignment="1" applyProtection="1">
      <alignment horizontal="center" vertical="center"/>
    </xf>
    <xf numFmtId="0" fontId="43" fillId="8" borderId="96" xfId="0" applyFont="1" applyFill="1" applyBorder="1" applyAlignment="1" applyProtection="1">
      <alignment horizontal="center" vertical="center"/>
    </xf>
    <xf numFmtId="3" fontId="40" fillId="8" borderId="91" xfId="0" applyNumberFormat="1" applyFont="1" applyFill="1" applyBorder="1" applyAlignment="1" applyProtection="1">
      <alignment horizontal="right" vertical="center"/>
    </xf>
    <xf numFmtId="3" fontId="40" fillId="8" borderId="74" xfId="0" applyNumberFormat="1" applyFont="1" applyFill="1" applyBorder="1" applyAlignment="1" applyProtection="1">
      <alignment horizontal="right" vertical="center"/>
    </xf>
    <xf numFmtId="3" fontId="40" fillId="8" borderId="92" xfId="0" applyNumberFormat="1" applyFont="1" applyFill="1" applyBorder="1" applyAlignment="1" applyProtection="1">
      <alignment horizontal="right" vertical="center"/>
    </xf>
    <xf numFmtId="3" fontId="40" fillId="8" borderId="75" xfId="0" applyNumberFormat="1" applyFont="1" applyFill="1" applyBorder="1" applyAlignment="1" applyProtection="1">
      <alignment horizontal="right" vertical="center"/>
    </xf>
    <xf numFmtId="3" fontId="40" fillId="8" borderId="85" xfId="0" applyNumberFormat="1" applyFont="1" applyFill="1" applyBorder="1" applyAlignment="1" applyProtection="1">
      <alignment horizontal="right" vertical="center"/>
    </xf>
    <xf numFmtId="3" fontId="42" fillId="8" borderId="81" xfId="0" applyNumberFormat="1" applyFont="1" applyFill="1" applyBorder="1" applyAlignment="1" applyProtection="1">
      <alignment horizontal="center" vertical="center"/>
    </xf>
    <xf numFmtId="49" fontId="32" fillId="2" borderId="1" xfId="0" applyNumberFormat="1" applyFont="1" applyFill="1" applyBorder="1" applyAlignment="1" applyProtection="1">
      <alignment horizontal="left" vertical="center"/>
    </xf>
    <xf numFmtId="49" fontId="37" fillId="0" borderId="11" xfId="0" applyNumberFormat="1" applyFont="1" applyBorder="1" applyAlignment="1" applyProtection="1">
      <alignment horizontal="center" vertical="center"/>
    </xf>
    <xf numFmtId="49" fontId="35" fillId="0" borderId="5" xfId="0" applyNumberFormat="1" applyFont="1" applyBorder="1" applyAlignment="1" applyProtection="1">
      <alignment horizontal="center" vertical="center"/>
    </xf>
    <xf numFmtId="49" fontId="34" fillId="0" borderId="5" xfId="0" applyNumberFormat="1" applyFont="1" applyBorder="1" applyAlignment="1" applyProtection="1">
      <alignment horizontal="center" vertical="center"/>
    </xf>
    <xf numFmtId="49" fontId="31" fillId="0" borderId="7" xfId="0" applyNumberFormat="1" applyFont="1" applyBorder="1" applyAlignment="1" applyProtection="1">
      <alignment horizontal="center" vertical="center"/>
    </xf>
    <xf numFmtId="42" fontId="0" fillId="0" borderId="13" xfId="0" applyNumberFormat="1" applyBorder="1" applyAlignment="1" applyProtection="1">
      <alignment horizontal="center" vertical="center"/>
    </xf>
    <xf numFmtId="0" fontId="0" fillId="0" borderId="113" xfId="0" applyBorder="1" applyProtection="1"/>
    <xf numFmtId="0" fontId="0" fillId="0" borderId="114" xfId="0" applyBorder="1" applyProtection="1"/>
    <xf numFmtId="42" fontId="36" fillId="0" borderId="114" xfId="0" applyNumberFormat="1" applyFont="1" applyBorder="1" applyAlignment="1" applyProtection="1">
      <alignment horizontal="center" vertical="center"/>
    </xf>
    <xf numFmtId="0" fontId="43" fillId="6" borderId="96" xfId="0" applyFont="1" applyFill="1" applyBorder="1" applyAlignment="1" applyProtection="1">
      <alignment horizontal="center" vertical="center"/>
    </xf>
    <xf numFmtId="3" fontId="40" fillId="6" borderId="91" xfId="0" applyNumberFormat="1" applyFont="1" applyFill="1" applyBorder="1" applyAlignment="1" applyProtection="1">
      <alignment horizontal="right" vertical="center"/>
    </xf>
    <xf numFmtId="3" fontId="40" fillId="6" borderId="74" xfId="0" applyNumberFormat="1" applyFont="1" applyFill="1" applyBorder="1" applyAlignment="1" applyProtection="1">
      <alignment horizontal="right" vertical="center"/>
    </xf>
    <xf numFmtId="3" fontId="40" fillId="6" borderId="92" xfId="0" applyNumberFormat="1" applyFont="1" applyFill="1" applyBorder="1" applyAlignment="1" applyProtection="1">
      <alignment horizontal="right" vertical="center"/>
    </xf>
    <xf numFmtId="3" fontId="40" fillId="6" borderId="75" xfId="0" applyNumberFormat="1" applyFont="1" applyFill="1" applyBorder="1" applyAlignment="1" applyProtection="1">
      <alignment horizontal="right" vertical="center"/>
    </xf>
    <xf numFmtId="3" fontId="40" fillId="6" borderId="85" xfId="0" applyNumberFormat="1" applyFont="1" applyFill="1" applyBorder="1" applyAlignment="1" applyProtection="1">
      <alignment horizontal="right" vertical="center"/>
    </xf>
    <xf numFmtId="3" fontId="42" fillId="6" borderId="81" xfId="0" applyNumberFormat="1" applyFont="1" applyFill="1" applyBorder="1" applyAlignment="1" applyProtection="1">
      <alignment horizontal="center" vertical="center"/>
    </xf>
    <xf numFmtId="49" fontId="34" fillId="0" borderId="18" xfId="0" applyNumberFormat="1" applyFont="1" applyBorder="1" applyAlignment="1" applyProtection="1">
      <alignment horizontal="center" vertical="center"/>
    </xf>
    <xf numFmtId="49" fontId="35" fillId="0" borderId="7" xfId="0" applyNumberFormat="1" applyFont="1" applyBorder="1" applyAlignment="1" applyProtection="1">
      <alignment horizontal="center" vertical="center"/>
    </xf>
    <xf numFmtId="0" fontId="0" fillId="0" borderId="17" xfId="0" applyBorder="1" applyProtection="1"/>
    <xf numFmtId="0" fontId="0" fillId="0" borderId="0" xfId="0" applyBorder="1" applyProtection="1"/>
    <xf numFmtId="42" fontId="36" fillId="0" borderId="0" xfId="0" applyNumberFormat="1" applyFont="1" applyBorder="1" applyAlignment="1" applyProtection="1">
      <alignment horizontal="center" vertical="center"/>
    </xf>
    <xf numFmtId="0" fontId="43" fillId="6" borderId="97" xfId="0" applyFont="1" applyFill="1" applyBorder="1" applyAlignment="1" applyProtection="1">
      <alignment horizontal="center" vertical="center"/>
    </xf>
    <xf numFmtId="3" fontId="40" fillId="6" borderId="93" xfId="0" applyNumberFormat="1" applyFont="1" applyFill="1" applyBorder="1" applyAlignment="1" applyProtection="1">
      <alignment horizontal="right" vertical="center"/>
    </xf>
    <xf numFmtId="3" fontId="40" fillId="6" borderId="76" xfId="0" applyNumberFormat="1" applyFont="1" applyFill="1" applyBorder="1" applyAlignment="1" applyProtection="1">
      <alignment horizontal="right" vertical="center"/>
    </xf>
    <xf numFmtId="3" fontId="40" fillId="6" borderId="94" xfId="0" applyNumberFormat="1" applyFont="1" applyFill="1" applyBorder="1" applyAlignment="1" applyProtection="1">
      <alignment horizontal="right" vertical="center"/>
    </xf>
    <xf numFmtId="3" fontId="40" fillId="6" borderId="77" xfId="0" applyNumberFormat="1" applyFont="1" applyFill="1" applyBorder="1" applyAlignment="1" applyProtection="1">
      <alignment horizontal="right" vertical="center"/>
    </xf>
    <xf numFmtId="3" fontId="40" fillId="6" borderId="86" xfId="0" applyNumberFormat="1" applyFont="1" applyFill="1" applyBorder="1" applyAlignment="1" applyProtection="1">
      <alignment horizontal="right" vertical="center"/>
    </xf>
    <xf numFmtId="3" fontId="42" fillId="6" borderId="82" xfId="0" applyNumberFormat="1" applyFont="1" applyFill="1" applyBorder="1" applyAlignment="1" applyProtection="1">
      <alignment horizontal="center" vertical="center"/>
    </xf>
    <xf numFmtId="49" fontId="32" fillId="2" borderId="2" xfId="0" applyNumberFormat="1" applyFont="1" applyFill="1" applyBorder="1" applyAlignment="1" applyProtection="1">
      <alignment horizontal="left" vertical="center"/>
    </xf>
    <xf numFmtId="49" fontId="37" fillId="0" borderId="12" xfId="0" applyNumberFormat="1" applyFont="1" applyBorder="1" applyAlignment="1" applyProtection="1">
      <alignment horizontal="center" vertical="center"/>
    </xf>
    <xf numFmtId="49" fontId="35" fillId="0" borderId="6" xfId="0" applyNumberFormat="1" applyFont="1" applyBorder="1" applyAlignment="1" applyProtection="1">
      <alignment horizontal="center" vertical="center"/>
    </xf>
    <xf numFmtId="49" fontId="34" fillId="0" borderId="6" xfId="0" applyNumberFormat="1" applyFont="1" applyBorder="1" applyAlignment="1" applyProtection="1">
      <alignment horizontal="center" vertical="center"/>
    </xf>
    <xf numFmtId="49" fontId="35" fillId="0" borderId="8" xfId="0" applyNumberFormat="1" applyFont="1" applyBorder="1" applyAlignment="1" applyProtection="1">
      <alignment horizontal="center" vertical="center"/>
    </xf>
    <xf numFmtId="42" fontId="0" fillId="0" borderId="14" xfId="0" applyNumberFormat="1" applyBorder="1" applyAlignment="1" applyProtection="1">
      <alignment horizontal="center" vertical="center"/>
    </xf>
    <xf numFmtId="0" fontId="40" fillId="0" borderId="0" xfId="0" applyFont="1" applyFill="1" applyBorder="1" applyAlignment="1" applyProtection="1">
      <alignment horizontal="center" vertical="center"/>
    </xf>
    <xf numFmtId="0" fontId="42" fillId="0" borderId="0" xfId="0" applyFont="1" applyFill="1" applyBorder="1" applyAlignment="1" applyProtection="1">
      <alignment horizontal="left" vertical="center"/>
    </xf>
    <xf numFmtId="0" fontId="31" fillId="0" borderId="0" xfId="0" applyFont="1" applyProtection="1"/>
    <xf numFmtId="42" fontId="36" fillId="0" borderId="0" xfId="0" applyNumberFormat="1" applyFont="1" applyAlignment="1" applyProtection="1">
      <alignment horizontal="center" vertical="center"/>
    </xf>
    <xf numFmtId="0" fontId="43" fillId="8" borderId="105" xfId="0" applyFont="1" applyFill="1" applyBorder="1" applyAlignment="1" applyProtection="1">
      <alignment horizontal="center" vertical="center"/>
    </xf>
    <xf numFmtId="3" fontId="40" fillId="8" borderId="106" xfId="0" applyNumberFormat="1" applyFont="1" applyFill="1" applyBorder="1" applyAlignment="1" applyProtection="1">
      <alignment horizontal="right" vertical="center"/>
    </xf>
    <xf numFmtId="0" fontId="36" fillId="0" borderId="120" xfId="0" applyFont="1" applyBorder="1" applyAlignment="1" applyProtection="1">
      <alignment horizontal="center" vertical="center"/>
    </xf>
    <xf numFmtId="0" fontId="41" fillId="8" borderId="118" xfId="0" applyFont="1" applyFill="1" applyBorder="1" applyAlignment="1" applyProtection="1">
      <alignment horizontal="center" vertical="center"/>
    </xf>
    <xf numFmtId="3" fontId="40" fillId="7" borderId="107" xfId="0" applyNumberFormat="1" applyFont="1" applyFill="1" applyBorder="1" applyAlignment="1" applyProtection="1">
      <alignment horizontal="right" vertical="center"/>
    </xf>
    <xf numFmtId="0" fontId="0" fillId="0" borderId="121" xfId="0" applyBorder="1" applyAlignment="1" applyProtection="1">
      <alignment wrapText="1"/>
    </xf>
    <xf numFmtId="0" fontId="0" fillId="0" borderId="122" xfId="0" applyBorder="1" applyAlignment="1" applyProtection="1">
      <alignment wrapText="1"/>
    </xf>
    <xf numFmtId="3" fontId="40" fillId="5" borderId="108" xfId="0" applyNumberFormat="1" applyFont="1" applyFill="1" applyBorder="1" applyAlignment="1" applyProtection="1">
      <alignment horizontal="right" vertical="center"/>
    </xf>
    <xf numFmtId="49" fontId="50" fillId="0" borderId="7" xfId="0" applyNumberFormat="1" applyFont="1" applyBorder="1" applyAlignment="1" applyProtection="1">
      <alignment horizontal="center" vertical="center"/>
    </xf>
    <xf numFmtId="3" fontId="40" fillId="8" borderId="108" xfId="0" applyNumberFormat="1" applyFont="1" applyFill="1" applyBorder="1" applyAlignment="1" applyProtection="1">
      <alignment horizontal="right" vertical="center"/>
    </xf>
    <xf numFmtId="3" fontId="40" fillId="6" borderId="108" xfId="0" applyNumberFormat="1" applyFont="1" applyFill="1" applyBorder="1" applyAlignment="1" applyProtection="1">
      <alignment horizontal="right" vertical="center"/>
    </xf>
    <xf numFmtId="3" fontId="40" fillId="6" borderId="109" xfId="0" applyNumberFormat="1" applyFont="1" applyFill="1" applyBorder="1" applyAlignment="1" applyProtection="1">
      <alignment horizontal="right" vertical="center"/>
    </xf>
    <xf numFmtId="0" fontId="65" fillId="0" borderId="0" xfId="0" applyFont="1"/>
    <xf numFmtId="0" fontId="29" fillId="18" borderId="172" xfId="0" applyFont="1" applyFill="1" applyBorder="1" applyAlignment="1">
      <alignment horizontal="center" vertical="center"/>
    </xf>
    <xf numFmtId="10" fontId="27" fillId="20" borderId="13" xfId="0" applyNumberFormat="1" applyFont="1" applyFill="1" applyBorder="1" applyAlignment="1" applyProtection="1">
      <alignment horizontal="right" vertical="center"/>
      <protection locked="0"/>
    </xf>
    <xf numFmtId="166" fontId="27" fillId="2" borderId="200" xfId="0" applyNumberFormat="1" applyFont="1" applyFill="1" applyBorder="1" applyAlignment="1">
      <alignment vertical="center"/>
    </xf>
    <xf numFmtId="166" fontId="27" fillId="2" borderId="196" xfId="0" applyNumberFormat="1" applyFont="1" applyFill="1" applyBorder="1" applyAlignment="1">
      <alignment vertical="center"/>
    </xf>
    <xf numFmtId="166" fontId="27" fillId="2" borderId="203" xfId="0" applyNumberFormat="1" applyFont="1" applyFill="1" applyBorder="1" applyAlignment="1">
      <alignment vertical="center"/>
    </xf>
    <xf numFmtId="166" fontId="27" fillId="2" borderId="215" xfId="0" applyNumberFormat="1" applyFont="1" applyFill="1" applyBorder="1" applyAlignment="1">
      <alignment vertical="center"/>
    </xf>
    <xf numFmtId="166" fontId="70" fillId="3" borderId="169" xfId="0" applyNumberFormat="1" applyFont="1" applyFill="1" applyBorder="1" applyAlignment="1">
      <alignment horizontal="right" vertical="center"/>
    </xf>
    <xf numFmtId="166" fontId="61" fillId="24" borderId="169" xfId="0" applyNumberFormat="1" applyFont="1" applyFill="1" applyBorder="1" applyAlignment="1">
      <alignment horizontal="right" vertical="center"/>
    </xf>
    <xf numFmtId="49" fontId="21" fillId="25" borderId="168" xfId="1" applyNumberFormat="1" applyFont="1" applyFill="1" applyBorder="1" applyAlignment="1" applyProtection="1">
      <alignment horizontal="center" vertical="center"/>
      <protection locked="0"/>
    </xf>
    <xf numFmtId="166" fontId="61" fillId="25" borderId="169" xfId="0" applyNumberFormat="1" applyFont="1" applyFill="1" applyBorder="1" applyAlignment="1">
      <alignment horizontal="right" vertical="center"/>
    </xf>
    <xf numFmtId="49" fontId="21" fillId="24" borderId="220" xfId="1" applyNumberFormat="1" applyFont="1" applyFill="1" applyBorder="1" applyAlignment="1" applyProtection="1">
      <alignment horizontal="center" vertical="center"/>
      <protection locked="0"/>
    </xf>
    <xf numFmtId="49" fontId="21" fillId="24" borderId="219" xfId="1" applyNumberFormat="1" applyFont="1" applyFill="1" applyBorder="1" applyAlignment="1" applyProtection="1">
      <alignment horizontal="center" vertical="center"/>
      <protection locked="0"/>
    </xf>
    <xf numFmtId="166" fontId="0" fillId="0" borderId="0" xfId="0" applyNumberFormat="1"/>
    <xf numFmtId="0" fontId="72" fillId="0" borderId="0" xfId="0" applyFont="1" applyAlignment="1" applyProtection="1">
      <alignment vertical="center"/>
      <protection hidden="1"/>
    </xf>
    <xf numFmtId="0" fontId="74" fillId="0" borderId="55" xfId="0" applyFont="1" applyFill="1" applyBorder="1" applyAlignment="1" applyProtection="1">
      <alignment vertical="center" wrapText="1"/>
      <protection hidden="1"/>
    </xf>
    <xf numFmtId="0" fontId="74" fillId="0" borderId="205" xfId="0" applyFont="1" applyFill="1" applyBorder="1" applyAlignment="1" applyProtection="1">
      <alignment vertical="center" wrapText="1"/>
      <protection hidden="1"/>
    </xf>
    <xf numFmtId="49" fontId="74" fillId="0" borderId="229" xfId="0" applyNumberFormat="1" applyFont="1" applyFill="1" applyBorder="1" applyAlignment="1" applyProtection="1">
      <alignment vertical="center"/>
      <protection hidden="1"/>
    </xf>
    <xf numFmtId="0" fontId="74" fillId="0" borderId="184" xfId="0" applyNumberFormat="1" applyFont="1" applyFill="1" applyBorder="1" applyAlignment="1" applyProtection="1">
      <alignment vertical="center"/>
      <protection hidden="1"/>
    </xf>
    <xf numFmtId="49" fontId="74" fillId="0" borderId="185" xfId="0" applyNumberFormat="1" applyFont="1" applyFill="1" applyBorder="1" applyAlignment="1" applyProtection="1">
      <alignment horizontal="right" vertical="center"/>
      <protection hidden="1"/>
    </xf>
    <xf numFmtId="0" fontId="75" fillId="0" borderId="0" xfId="0" applyFont="1" applyAlignment="1" applyProtection="1">
      <alignment vertical="center" wrapText="1"/>
      <protection hidden="1"/>
    </xf>
    <xf numFmtId="49" fontId="76" fillId="0" borderId="52" xfId="0" applyNumberFormat="1" applyFont="1" applyFill="1" applyBorder="1" applyAlignment="1" applyProtection="1">
      <alignment horizontal="left" vertical="top"/>
    </xf>
    <xf numFmtId="49" fontId="76" fillId="0" borderId="52" xfId="0" applyNumberFormat="1" applyFont="1" applyFill="1" applyBorder="1" applyAlignment="1" applyProtection="1">
      <alignment vertical="top" wrapText="1"/>
    </xf>
    <xf numFmtId="49" fontId="77" fillId="0" borderId="52" xfId="0" applyNumberFormat="1" applyFont="1" applyFill="1" applyBorder="1" applyAlignment="1" applyProtection="1">
      <alignment vertical="top" wrapText="1"/>
      <protection locked="0"/>
    </xf>
    <xf numFmtId="49" fontId="76" fillId="0" borderId="52" xfId="0" applyNumberFormat="1" applyFont="1" applyFill="1" applyBorder="1" applyAlignment="1" applyProtection="1">
      <alignment vertical="top" wrapText="1"/>
      <protection hidden="1"/>
    </xf>
    <xf numFmtId="49" fontId="76" fillId="0" borderId="208" xfId="0" applyNumberFormat="1" applyFont="1" applyFill="1" applyBorder="1" applyAlignment="1" applyProtection="1">
      <alignment vertical="top" wrapText="1"/>
      <protection hidden="1"/>
    </xf>
    <xf numFmtId="0" fontId="78" fillId="0" borderId="22" xfId="0" applyFont="1" applyFill="1" applyBorder="1" applyAlignment="1" applyProtection="1">
      <alignment vertical="top"/>
      <protection hidden="1"/>
    </xf>
    <xf numFmtId="0" fontId="78" fillId="0" borderId="190" xfId="0" applyFont="1" applyFill="1" applyBorder="1" applyAlignment="1" applyProtection="1">
      <alignment vertical="top"/>
      <protection hidden="1"/>
    </xf>
    <xf numFmtId="49" fontId="80" fillId="0" borderId="190" xfId="0" applyNumberFormat="1" applyFont="1" applyFill="1" applyBorder="1" applyAlignment="1" applyProtection="1">
      <alignment vertical="top" wrapText="1"/>
      <protection locked="0"/>
    </xf>
    <xf numFmtId="49" fontId="78" fillId="0" borderId="190" xfId="0" applyNumberFormat="1" applyFont="1" applyFill="1" applyBorder="1" applyAlignment="1" applyProtection="1">
      <alignment vertical="top"/>
      <protection hidden="1"/>
    </xf>
    <xf numFmtId="49" fontId="78" fillId="0" borderId="191" xfId="0" applyNumberFormat="1" applyFont="1" applyFill="1" applyBorder="1" applyAlignment="1" applyProtection="1">
      <alignment vertical="top"/>
      <protection hidden="1"/>
    </xf>
    <xf numFmtId="0" fontId="81" fillId="26" borderId="230" xfId="0" applyFont="1" applyFill="1" applyBorder="1" applyAlignment="1" applyProtection="1">
      <alignment vertical="center"/>
      <protection hidden="1"/>
    </xf>
    <xf numFmtId="0" fontId="81" fillId="27" borderId="184" xfId="0" applyFont="1" applyFill="1" applyBorder="1" applyAlignment="1" applyProtection="1">
      <alignment vertical="center"/>
      <protection hidden="1"/>
    </xf>
    <xf numFmtId="49" fontId="83" fillId="0" borderId="190" xfId="0" applyNumberFormat="1" applyFont="1" applyFill="1" applyBorder="1" applyAlignment="1" applyProtection="1">
      <alignment vertical="center" wrapText="1"/>
      <protection locked="0"/>
    </xf>
    <xf numFmtId="0" fontId="84" fillId="0" borderId="190" xfId="0" applyNumberFormat="1" applyFont="1" applyFill="1" applyBorder="1" applyAlignment="1" applyProtection="1">
      <alignment vertical="center" wrapText="1"/>
      <protection hidden="1"/>
    </xf>
    <xf numFmtId="49" fontId="84" fillId="0" borderId="190" xfId="0" applyNumberFormat="1" applyFont="1" applyFill="1" applyBorder="1" applyAlignment="1" applyProtection="1">
      <alignment vertical="center" wrapText="1"/>
      <protection locked="0"/>
    </xf>
    <xf numFmtId="49" fontId="84" fillId="0" borderId="195" xfId="0" applyNumberFormat="1" applyFont="1" applyFill="1" applyBorder="1" applyAlignment="1" applyProtection="1">
      <alignment vertical="center" wrapText="1"/>
      <protection locked="0"/>
    </xf>
    <xf numFmtId="0" fontId="83" fillId="0" borderId="232" xfId="0" applyFont="1" applyFill="1" applyBorder="1" applyAlignment="1" applyProtection="1">
      <alignment vertical="center"/>
      <protection locked="0"/>
    </xf>
    <xf numFmtId="0" fontId="83" fillId="0" borderId="16" xfId="0" applyFont="1" applyFill="1" applyBorder="1" applyAlignment="1" applyProtection="1">
      <alignment horizontal="left" vertical="center"/>
      <protection locked="0"/>
    </xf>
    <xf numFmtId="0" fontId="82" fillId="0" borderId="22" xfId="0" applyFont="1" applyFill="1" applyBorder="1" applyAlignment="1" applyProtection="1">
      <alignment vertical="center"/>
      <protection hidden="1"/>
    </xf>
    <xf numFmtId="0" fontId="82" fillId="0" borderId="190" xfId="0" applyFont="1" applyFill="1" applyBorder="1" applyAlignment="1" applyProtection="1">
      <alignment vertical="center"/>
      <protection hidden="1"/>
    </xf>
    <xf numFmtId="49" fontId="83" fillId="0" borderId="190" xfId="0" applyNumberFormat="1" applyFont="1" applyFill="1" applyBorder="1" applyAlignment="1" applyProtection="1">
      <alignment vertical="center"/>
      <protection locked="0"/>
    </xf>
    <xf numFmtId="0" fontId="84" fillId="0" borderId="202" xfId="0" applyFont="1" applyFill="1" applyBorder="1" applyAlignment="1" applyProtection="1">
      <alignment vertical="center"/>
      <protection locked="0"/>
    </xf>
    <xf numFmtId="0" fontId="86" fillId="0" borderId="0" xfId="0" applyFont="1" applyAlignment="1">
      <alignment horizontal="center"/>
    </xf>
    <xf numFmtId="170" fontId="83" fillId="0" borderId="182" xfId="0" applyNumberFormat="1" applyFont="1" applyFill="1" applyBorder="1" applyAlignment="1" applyProtection="1">
      <alignment horizontal="left" vertical="center"/>
      <protection locked="0"/>
    </xf>
    <xf numFmtId="0" fontId="83" fillId="0" borderId="190" xfId="0" applyNumberFormat="1" applyFont="1" applyFill="1" applyBorder="1" applyAlignment="1" applyProtection="1">
      <alignment vertical="center"/>
      <protection locked="0"/>
    </xf>
    <xf numFmtId="0" fontId="84" fillId="0" borderId="202" xfId="0" applyNumberFormat="1" applyFont="1" applyFill="1" applyBorder="1" applyAlignment="1" applyProtection="1">
      <alignment vertical="center"/>
      <protection locked="0"/>
    </xf>
    <xf numFmtId="0" fontId="87" fillId="0" borderId="0" xfId="0" applyFont="1" applyAlignment="1">
      <alignment horizontal="center"/>
    </xf>
    <xf numFmtId="170" fontId="83" fillId="0" borderId="41" xfId="0" applyNumberFormat="1" applyFont="1" applyFill="1" applyBorder="1" applyAlignment="1" applyProtection="1">
      <alignment horizontal="left" vertical="center"/>
      <protection locked="0"/>
    </xf>
    <xf numFmtId="170" fontId="88" fillId="0" borderId="40" xfId="0" applyNumberFormat="1" applyFont="1" applyFill="1" applyBorder="1" applyAlignment="1" applyProtection="1">
      <alignment horizontal="left" vertical="center" wrapText="1"/>
      <protection locked="0"/>
    </xf>
    <xf numFmtId="14" fontId="83" fillId="0" borderId="188" xfId="0" applyNumberFormat="1" applyFont="1" applyFill="1" applyBorder="1" applyAlignment="1" applyProtection="1">
      <alignment vertical="center"/>
      <protection locked="0"/>
    </xf>
    <xf numFmtId="14" fontId="84" fillId="0" borderId="189" xfId="0" applyNumberFormat="1" applyFont="1" applyFill="1" applyBorder="1" applyAlignment="1" applyProtection="1">
      <alignment vertical="center"/>
      <protection locked="0"/>
    </xf>
    <xf numFmtId="0" fontId="89" fillId="9" borderId="49" xfId="0" applyFont="1" applyFill="1" applyBorder="1" applyAlignment="1" applyProtection="1">
      <alignment horizontal="right" vertical="center"/>
      <protection hidden="1"/>
    </xf>
    <xf numFmtId="3" fontId="89" fillId="9" borderId="186" xfId="0" applyNumberFormat="1" applyFont="1" applyFill="1" applyBorder="1" applyAlignment="1" applyProtection="1">
      <alignment horizontal="left" vertical="center"/>
      <protection hidden="1"/>
    </xf>
    <xf numFmtId="0" fontId="90" fillId="9" borderId="34" xfId="0" applyFont="1" applyFill="1" applyBorder="1" applyAlignment="1" applyProtection="1">
      <alignment horizontal="center" vertical="center"/>
      <protection hidden="1"/>
    </xf>
    <xf numFmtId="0" fontId="90" fillId="9" borderId="235" xfId="0" applyFont="1" applyFill="1" applyBorder="1" applyAlignment="1" applyProtection="1">
      <alignment horizontal="center" vertical="center"/>
      <protection hidden="1"/>
    </xf>
    <xf numFmtId="0" fontId="72" fillId="29" borderId="0" xfId="0" applyFont="1" applyFill="1" applyAlignment="1" applyProtection="1">
      <alignment vertical="center"/>
      <protection locked="0"/>
    </xf>
    <xf numFmtId="0" fontId="84" fillId="29" borderId="23" xfId="0" applyFont="1" applyFill="1" applyBorder="1" applyAlignment="1" applyProtection="1">
      <alignment vertical="center"/>
      <protection locked="0"/>
    </xf>
    <xf numFmtId="0" fontId="84" fillId="29" borderId="193" xfId="0" applyFont="1" applyFill="1" applyBorder="1" applyAlignment="1" applyProtection="1">
      <alignment horizontal="center" vertical="center"/>
      <protection locked="0"/>
    </xf>
    <xf numFmtId="0" fontId="84" fillId="29" borderId="193" xfId="0" applyFont="1" applyFill="1" applyBorder="1" applyAlignment="1" applyProtection="1">
      <alignment vertical="center"/>
      <protection locked="0"/>
    </xf>
    <xf numFmtId="0" fontId="84" fillId="29" borderId="193" xfId="0" applyFont="1" applyFill="1" applyBorder="1" applyAlignment="1" applyProtection="1">
      <alignment horizontal="left" vertical="center"/>
      <protection locked="0"/>
    </xf>
    <xf numFmtId="0" fontId="84" fillId="29" borderId="194" xfId="0" applyFont="1" applyFill="1" applyBorder="1" applyAlignment="1" applyProtection="1">
      <alignment horizontal="center" vertical="center"/>
      <protection locked="0"/>
    </xf>
    <xf numFmtId="0" fontId="72" fillId="0" borderId="0" xfId="0" applyFont="1" applyAlignment="1" applyProtection="1">
      <alignment vertical="center"/>
      <protection locked="0"/>
    </xf>
    <xf numFmtId="0" fontId="72" fillId="0" borderId="0" xfId="0" applyFont="1" applyFill="1" applyAlignment="1" applyProtection="1">
      <alignment vertical="center"/>
      <protection locked="0"/>
    </xf>
    <xf numFmtId="0" fontId="72" fillId="17" borderId="236" xfId="0" applyFont="1" applyFill="1" applyBorder="1" applyAlignment="1" applyProtection="1">
      <alignment horizontal="center" vertical="center"/>
    </xf>
    <xf numFmtId="49" fontId="72" fillId="0" borderId="228" xfId="0" applyNumberFormat="1" applyFont="1" applyFill="1" applyBorder="1" applyAlignment="1" applyProtection="1">
      <alignment horizontal="center" vertical="center"/>
      <protection locked="0"/>
    </xf>
    <xf numFmtId="0" fontId="72" fillId="17" borderId="228" xfId="0" applyFont="1" applyFill="1" applyBorder="1" applyAlignment="1" applyProtection="1">
      <alignment horizontal="center" vertical="center"/>
      <protection locked="0"/>
    </xf>
    <xf numFmtId="0" fontId="72" fillId="0" borderId="228" xfId="0" applyFont="1" applyFill="1" applyBorder="1" applyAlignment="1" applyProtection="1">
      <alignment horizontal="center" vertical="center"/>
      <protection locked="0"/>
    </xf>
    <xf numFmtId="0" fontId="91" fillId="0" borderId="228" xfId="1" applyNumberFormat="1" applyFont="1" applyFill="1" applyBorder="1" applyAlignment="1" applyProtection="1">
      <alignment horizontal="left" vertical="center" wrapText="1"/>
      <protection locked="0"/>
    </xf>
    <xf numFmtId="169" fontId="72" fillId="0" borderId="228" xfId="0" applyNumberFormat="1" applyFont="1" applyFill="1" applyBorder="1" applyAlignment="1" applyProtection="1">
      <alignment horizontal="center" vertical="center"/>
      <protection locked="0"/>
    </xf>
    <xf numFmtId="2" fontId="72" fillId="0" borderId="228" xfId="0" applyNumberFormat="1" applyFont="1" applyFill="1" applyBorder="1" applyAlignment="1" applyProtection="1">
      <alignment horizontal="center" vertical="center"/>
      <protection locked="0"/>
    </xf>
    <xf numFmtId="4" fontId="20" fillId="0" borderId="228" xfId="1" applyNumberFormat="1" applyFont="1" applyFill="1" applyBorder="1" applyAlignment="1" applyProtection="1">
      <alignment horizontal="center" vertical="center"/>
      <protection locked="0"/>
    </xf>
    <xf numFmtId="165" fontId="20" fillId="0" borderId="237" xfId="1" applyNumberFormat="1" applyFont="1" applyFill="1" applyBorder="1" applyAlignment="1" applyProtection="1">
      <alignment horizontal="right" vertical="center"/>
    </xf>
    <xf numFmtId="0" fontId="72" fillId="0" borderId="25" xfId="0" applyFont="1" applyBorder="1" applyAlignment="1" applyProtection="1">
      <alignment vertical="center"/>
      <protection locked="0"/>
    </xf>
    <xf numFmtId="0" fontId="72" fillId="0" borderId="0" xfId="0" applyFont="1" applyBorder="1" applyAlignment="1" applyProtection="1">
      <alignment vertical="center"/>
      <protection locked="0"/>
    </xf>
    <xf numFmtId="0" fontId="91" fillId="0" borderId="213" xfId="1" applyNumberFormat="1" applyFont="1" applyFill="1" applyBorder="1" applyAlignment="1" applyProtection="1">
      <alignment horizontal="left" vertical="center" wrapText="1"/>
      <protection locked="0"/>
    </xf>
    <xf numFmtId="0" fontId="72" fillId="0" borderId="0" xfId="0" applyFont="1" applyBorder="1" applyAlignment="1" applyProtection="1">
      <alignment horizontal="center" vertical="center"/>
      <protection locked="0"/>
    </xf>
    <xf numFmtId="0" fontId="72" fillId="0" borderId="197" xfId="0" applyFont="1" applyBorder="1" applyAlignment="1" applyProtection="1">
      <alignment horizontal="center" vertical="center"/>
      <protection locked="0"/>
    </xf>
    <xf numFmtId="0" fontId="66" fillId="0" borderId="162" xfId="1" applyNumberFormat="1" applyFont="1" applyFill="1" applyBorder="1" applyAlignment="1" applyProtection="1">
      <alignment horizontal="left" vertical="center" wrapText="1" shrinkToFit="1"/>
      <protection locked="0"/>
    </xf>
    <xf numFmtId="0" fontId="72" fillId="0" borderId="210" xfId="0" applyFont="1" applyBorder="1" applyAlignment="1" applyProtection="1">
      <alignment vertical="center"/>
      <protection locked="0"/>
    </xf>
    <xf numFmtId="0" fontId="72" fillId="0" borderId="206" xfId="0" applyFont="1" applyBorder="1" applyAlignment="1" applyProtection="1">
      <alignment vertical="center"/>
      <protection locked="0"/>
    </xf>
    <xf numFmtId="0" fontId="91" fillId="0" borderId="34" xfId="1" applyNumberFormat="1" applyFont="1" applyFill="1" applyBorder="1" applyAlignment="1" applyProtection="1">
      <alignment horizontal="left" vertical="center" wrapText="1" shrinkToFit="1"/>
      <protection locked="0"/>
    </xf>
    <xf numFmtId="0" fontId="72" fillId="0" borderId="206" xfId="0" applyFont="1" applyBorder="1" applyAlignment="1" applyProtection="1">
      <alignment horizontal="center" vertical="center"/>
      <protection locked="0"/>
    </xf>
    <xf numFmtId="0" fontId="72" fillId="0" borderId="209" xfId="0" applyFont="1" applyBorder="1" applyAlignment="1" applyProtection="1">
      <alignment horizontal="center" vertical="center"/>
      <protection locked="0"/>
    </xf>
    <xf numFmtId="0" fontId="72" fillId="17" borderId="236" xfId="0" applyFont="1" applyFill="1" applyBorder="1" applyAlignment="1" applyProtection="1">
      <alignment horizontal="center" vertical="center"/>
      <protection locked="0"/>
    </xf>
    <xf numFmtId="165" fontId="20" fillId="0" borderId="237" xfId="1" applyNumberFormat="1" applyFont="1" applyFill="1" applyBorder="1" applyAlignment="1" applyProtection="1">
      <alignment horizontal="right" vertical="center"/>
      <protection locked="0"/>
    </xf>
    <xf numFmtId="0" fontId="72" fillId="10" borderId="0" xfId="0" applyFont="1" applyFill="1" applyAlignment="1" applyProtection="1">
      <alignment vertical="center"/>
      <protection locked="0"/>
    </xf>
    <xf numFmtId="0" fontId="84" fillId="10" borderId="23" xfId="0" applyFont="1" applyFill="1" applyBorder="1" applyAlignment="1" applyProtection="1">
      <alignment vertical="center"/>
      <protection locked="0"/>
    </xf>
    <xf numFmtId="0" fontId="84" fillId="10" borderId="193" xfId="0" applyFont="1" applyFill="1" applyBorder="1" applyAlignment="1" applyProtection="1">
      <alignment horizontal="center" vertical="center"/>
      <protection locked="0"/>
    </xf>
    <xf numFmtId="0" fontId="84" fillId="10" borderId="193" xfId="0" applyFont="1" applyFill="1" applyBorder="1" applyAlignment="1" applyProtection="1">
      <alignment vertical="center"/>
      <protection locked="0"/>
    </xf>
    <xf numFmtId="0" fontId="84" fillId="10" borderId="193" xfId="0" applyFont="1" applyFill="1" applyBorder="1" applyAlignment="1" applyProtection="1">
      <alignment horizontal="left" vertical="center"/>
      <protection locked="0"/>
    </xf>
    <xf numFmtId="165" fontId="84" fillId="10" borderId="194" xfId="0" applyNumberFormat="1" applyFont="1" applyFill="1" applyBorder="1" applyAlignment="1" applyProtection="1">
      <alignment horizontal="center" vertical="center"/>
      <protection locked="0"/>
    </xf>
    <xf numFmtId="0" fontId="72" fillId="0" borderId="0" xfId="0" applyFont="1" applyProtection="1">
      <protection locked="0"/>
    </xf>
    <xf numFmtId="0" fontId="72" fillId="0" borderId="0" xfId="0" applyFont="1" applyAlignment="1" applyProtection="1">
      <alignment horizontal="center"/>
      <protection locked="0"/>
    </xf>
    <xf numFmtId="0" fontId="106" fillId="15" borderId="193" xfId="0" applyFont="1" applyFill="1" applyBorder="1" applyAlignment="1">
      <alignment vertical="center"/>
    </xf>
    <xf numFmtId="165" fontId="106" fillId="15" borderId="211" xfId="0" applyNumberFormat="1" applyFont="1" applyFill="1" applyBorder="1" applyAlignment="1">
      <alignment vertical="center"/>
    </xf>
    <xf numFmtId="0" fontId="69" fillId="0" borderId="171" xfId="0" applyFont="1" applyFill="1" applyBorder="1" applyAlignment="1">
      <alignment vertical="center"/>
    </xf>
    <xf numFmtId="0" fontId="69" fillId="0" borderId="172" xfId="0" applyFont="1" applyFill="1" applyBorder="1" applyAlignment="1">
      <alignment vertical="center" wrapText="1"/>
    </xf>
    <xf numFmtId="0" fontId="69" fillId="0" borderId="173" xfId="0" applyFont="1" applyFill="1" applyBorder="1" applyAlignment="1">
      <alignment horizontal="center" vertical="center"/>
    </xf>
    <xf numFmtId="0" fontId="69" fillId="0" borderId="0" xfId="0" applyFont="1" applyAlignment="1">
      <alignment horizontal="left" vertical="center"/>
    </xf>
    <xf numFmtId="0" fontId="69" fillId="0" borderId="19" xfId="0" applyFont="1" applyFill="1" applyBorder="1" applyAlignment="1">
      <alignment horizontal="center" vertical="center" wrapText="1"/>
    </xf>
    <xf numFmtId="0" fontId="69" fillId="0" borderId="198" xfId="0" applyFont="1" applyFill="1" applyBorder="1" applyAlignment="1">
      <alignment horizontal="center" vertical="center" wrapText="1"/>
    </xf>
    <xf numFmtId="0" fontId="69" fillId="0" borderId="238" xfId="0" applyFont="1" applyFill="1" applyBorder="1" applyAlignment="1">
      <alignment horizontal="center" vertical="top" wrapText="1"/>
    </xf>
    <xf numFmtId="0" fontId="0" fillId="0" borderId="216" xfId="0" applyFont="1" applyFill="1" applyBorder="1" applyAlignment="1">
      <alignment horizontal="left" vertical="center" wrapText="1"/>
    </xf>
    <xf numFmtId="0" fontId="0" fillId="0" borderId="239" xfId="0" applyFill="1" applyBorder="1" applyAlignment="1">
      <alignment horizontal="left" vertical="center" wrapText="1"/>
    </xf>
    <xf numFmtId="4" fontId="69" fillId="0" borderId="217" xfId="0" applyNumberFormat="1" applyFont="1" applyFill="1" applyBorder="1" applyAlignment="1">
      <alignment horizontal="right" vertical="center"/>
    </xf>
    <xf numFmtId="0" fontId="0" fillId="0" borderId="0" xfId="0" applyAlignment="1">
      <alignment horizontal="left" vertical="center"/>
    </xf>
    <xf numFmtId="0" fontId="0" fillId="0" borderId="0" xfId="0" applyFill="1"/>
    <xf numFmtId="0" fontId="0" fillId="0" borderId="0" xfId="0" applyFill="1" applyAlignment="1">
      <alignment wrapText="1"/>
    </xf>
    <xf numFmtId="49" fontId="32" fillId="2" borderId="240" xfId="0" applyNumberFormat="1" applyFont="1" applyFill="1" applyBorder="1" applyAlignment="1" applyProtection="1">
      <alignment horizontal="left" vertical="center"/>
    </xf>
    <xf numFmtId="49" fontId="37" fillId="0" borderId="241" xfId="0" applyNumberFormat="1" applyFont="1" applyBorder="1" applyAlignment="1" applyProtection="1">
      <alignment horizontal="center" vertical="center"/>
    </xf>
    <xf numFmtId="49" fontId="35" fillId="0" borderId="242" xfId="0" applyNumberFormat="1" applyFont="1" applyBorder="1" applyAlignment="1" applyProtection="1">
      <alignment horizontal="center" vertical="center"/>
    </xf>
    <xf numFmtId="49" fontId="34" fillId="0" borderId="242" xfId="0" applyNumberFormat="1" applyFont="1" applyBorder="1" applyAlignment="1" applyProtection="1">
      <alignment horizontal="center" vertical="center"/>
    </xf>
    <xf numFmtId="49" fontId="35" fillId="0" borderId="243" xfId="0" applyNumberFormat="1" applyFont="1" applyBorder="1" applyAlignment="1" applyProtection="1">
      <alignment horizontal="center" vertical="center"/>
    </xf>
    <xf numFmtId="42" fontId="0" fillId="0" borderId="167" xfId="0" applyNumberFormat="1" applyBorder="1" applyAlignment="1" applyProtection="1">
      <alignment horizontal="center" vertical="center"/>
    </xf>
    <xf numFmtId="0" fontId="43" fillId="6" borderId="0" xfId="0" applyFont="1" applyFill="1" applyBorder="1" applyAlignment="1" applyProtection="1">
      <alignment horizontal="center" vertical="center"/>
    </xf>
    <xf numFmtId="3" fontId="40" fillId="6" borderId="0" xfId="0" applyNumberFormat="1" applyFont="1" applyFill="1" applyBorder="1" applyAlignment="1" applyProtection="1">
      <alignment horizontal="right" vertical="center"/>
    </xf>
    <xf numFmtId="3" fontId="42" fillId="6" borderId="0" xfId="0" applyNumberFormat="1" applyFont="1" applyFill="1" applyBorder="1" applyAlignment="1" applyProtection="1">
      <alignment horizontal="center" vertical="center"/>
    </xf>
    <xf numFmtId="0" fontId="43" fillId="6" borderId="244" xfId="0" applyFont="1" applyFill="1" applyBorder="1" applyAlignment="1" applyProtection="1">
      <alignment horizontal="center" vertical="center"/>
    </xf>
    <xf numFmtId="3" fontId="40" fillId="6" borderId="245" xfId="0" applyNumberFormat="1" applyFont="1" applyFill="1" applyBorder="1" applyAlignment="1" applyProtection="1">
      <alignment horizontal="right" vertical="center"/>
    </xf>
    <xf numFmtId="3" fontId="0" fillId="0" borderId="0" xfId="0" applyNumberFormat="1" applyAlignment="1">
      <alignment horizontal="left" vertical="center"/>
    </xf>
    <xf numFmtId="0" fontId="0" fillId="0" borderId="47" xfId="0" applyFont="1" applyFill="1" applyBorder="1" applyAlignment="1">
      <alignment horizontal="left" vertical="center" wrapText="1"/>
    </xf>
    <xf numFmtId="0" fontId="0" fillId="0" borderId="246" xfId="0" applyFill="1" applyBorder="1" applyAlignment="1">
      <alignment horizontal="left" vertical="center" wrapText="1"/>
    </xf>
    <xf numFmtId="4" fontId="69" fillId="0" borderId="3" xfId="0" applyNumberFormat="1" applyFont="1" applyFill="1" applyBorder="1" applyAlignment="1">
      <alignment horizontal="right" vertical="center"/>
    </xf>
    <xf numFmtId="0" fontId="69" fillId="0" borderId="174" xfId="0" applyFont="1" applyFill="1" applyBorder="1" applyAlignment="1">
      <alignment vertical="top"/>
    </xf>
    <xf numFmtId="0" fontId="69" fillId="0" borderId="175" xfId="0" applyFont="1" applyFill="1" applyBorder="1" applyAlignment="1">
      <alignment horizontal="center" vertical="top" wrapText="1"/>
    </xf>
    <xf numFmtId="0" fontId="68" fillId="0" borderId="162" xfId="0" applyFont="1" applyBorder="1" applyAlignment="1">
      <alignment vertical="center" wrapText="1"/>
    </xf>
    <xf numFmtId="0" fontId="37" fillId="21" borderId="38" xfId="0" applyFont="1" applyFill="1" applyBorder="1" applyAlignment="1">
      <alignment horizontal="left" vertical="center" wrapText="1"/>
    </xf>
    <xf numFmtId="0" fontId="37" fillId="21" borderId="33" xfId="0" applyFont="1" applyFill="1" applyBorder="1" applyAlignment="1">
      <alignment horizontal="left" vertical="center" wrapText="1"/>
    </xf>
    <xf numFmtId="0" fontId="37" fillId="21" borderId="44" xfId="0" applyFont="1" applyFill="1" applyBorder="1" applyAlignment="1">
      <alignment horizontal="left" vertical="center" wrapText="1"/>
    </xf>
    <xf numFmtId="0" fontId="37" fillId="21" borderId="45" xfId="0" applyFont="1" applyFill="1" applyBorder="1" applyAlignment="1">
      <alignment horizontal="left" vertical="center" wrapText="1"/>
    </xf>
    <xf numFmtId="0" fontId="54" fillId="4" borderId="65" xfId="0" applyFont="1" applyFill="1" applyBorder="1" applyAlignment="1">
      <alignment horizontal="left" vertical="center" wrapText="1"/>
    </xf>
    <xf numFmtId="0" fontId="54" fillId="4" borderId="146" xfId="0" applyFont="1" applyFill="1" applyBorder="1" applyAlignment="1">
      <alignment horizontal="left" vertical="center" wrapText="1"/>
    </xf>
    <xf numFmtId="0" fontId="39" fillId="0" borderId="147" xfId="0" applyFont="1" applyBorder="1" applyAlignment="1">
      <alignment horizontal="left" vertical="center"/>
    </xf>
    <xf numFmtId="0" fontId="39" fillId="0" borderId="148" xfId="0" applyFont="1" applyBorder="1" applyAlignment="1">
      <alignment horizontal="left" vertical="center"/>
    </xf>
    <xf numFmtId="0" fontId="39" fillId="0" borderId="149" xfId="0" applyFont="1" applyBorder="1" applyAlignment="1">
      <alignment horizontal="left" vertical="center"/>
    </xf>
    <xf numFmtId="0" fontId="39" fillId="0" borderId="150" xfId="0" applyFont="1" applyBorder="1" applyAlignment="1">
      <alignment horizontal="left" vertical="center"/>
    </xf>
    <xf numFmtId="0" fontId="39" fillId="0" borderId="151" xfId="0" applyFont="1" applyBorder="1" applyAlignment="1">
      <alignment horizontal="left" vertical="center"/>
    </xf>
    <xf numFmtId="0" fontId="39" fillId="0" borderId="152" xfId="0" applyFont="1" applyBorder="1" applyAlignment="1">
      <alignment horizontal="left" vertical="center"/>
    </xf>
    <xf numFmtId="0" fontId="39" fillId="0" borderId="153" xfId="0" applyFont="1" applyBorder="1" applyAlignment="1">
      <alignment horizontal="left" vertical="center"/>
    </xf>
    <xf numFmtId="0" fontId="39" fillId="0" borderId="154" xfId="0" applyFont="1" applyBorder="1" applyAlignment="1">
      <alignment horizontal="left" vertical="center"/>
    </xf>
    <xf numFmtId="0" fontId="39" fillId="0" borderId="142" xfId="0" applyFont="1" applyBorder="1" applyAlignment="1">
      <alignment horizontal="left" vertical="center"/>
    </xf>
    <xf numFmtId="0" fontId="39" fillId="0" borderId="143" xfId="0" applyFont="1" applyBorder="1" applyAlignment="1">
      <alignment horizontal="left" vertical="center"/>
    </xf>
    <xf numFmtId="0" fontId="52" fillId="4" borderId="134" xfId="0" applyFont="1" applyFill="1" applyBorder="1" applyAlignment="1">
      <alignment horizontal="left" vertical="center" wrapText="1"/>
    </xf>
    <xf numFmtId="0" fontId="52" fillId="4" borderId="144" xfId="0" applyFont="1" applyFill="1" applyBorder="1" applyAlignment="1">
      <alignment horizontal="left" vertical="center" wrapText="1"/>
    </xf>
    <xf numFmtId="0" fontId="49" fillId="4" borderId="131" xfId="0" applyFont="1" applyFill="1" applyBorder="1" applyAlignment="1">
      <alignment horizontal="left" vertical="center" wrapText="1"/>
    </xf>
    <xf numFmtId="0" fontId="49" fillId="4" borderId="145" xfId="0" applyFont="1" applyFill="1" applyBorder="1" applyAlignment="1">
      <alignment horizontal="left" vertical="center" wrapText="1"/>
    </xf>
    <xf numFmtId="0" fontId="49" fillId="4" borderId="128" xfId="0" applyFont="1" applyFill="1" applyBorder="1" applyAlignment="1">
      <alignment horizontal="left" vertical="center" wrapText="1"/>
    </xf>
    <xf numFmtId="0" fontId="53" fillId="0" borderId="43" xfId="0" applyFont="1" applyFill="1" applyBorder="1" applyAlignment="1">
      <alignment horizontal="right" vertical="top" wrapText="1"/>
    </xf>
    <xf numFmtId="0" fontId="106" fillId="15" borderId="192" xfId="0" applyFont="1" applyFill="1" applyBorder="1" applyAlignment="1">
      <alignment horizontal="center" vertical="center"/>
    </xf>
    <xf numFmtId="0" fontId="106" fillId="15" borderId="193" xfId="0" applyFont="1" applyFill="1" applyBorder="1" applyAlignment="1">
      <alignment horizontal="center" vertical="center"/>
    </xf>
    <xf numFmtId="0" fontId="64" fillId="0" borderId="200" xfId="0" applyFont="1" applyFill="1" applyBorder="1" applyAlignment="1">
      <alignment horizontal="center" vertical="center" wrapText="1"/>
    </xf>
    <xf numFmtId="0" fontId="64" fillId="0" borderId="204" xfId="0" applyFont="1" applyFill="1" applyBorder="1" applyAlignment="1">
      <alignment horizontal="center" vertical="center" wrapText="1"/>
    </xf>
    <xf numFmtId="0" fontId="90" fillId="9" borderId="196" xfId="0" applyFont="1" applyFill="1" applyBorder="1" applyAlignment="1" applyProtection="1">
      <alignment horizontal="center" vertical="center" wrapText="1"/>
      <protection hidden="1"/>
    </xf>
    <xf numFmtId="0" fontId="90" fillId="9" borderId="202" xfId="0" applyFont="1" applyFill="1" applyBorder="1" applyAlignment="1" applyProtection="1">
      <alignment horizontal="center" vertical="center" wrapText="1"/>
      <protection hidden="1"/>
    </xf>
    <xf numFmtId="49" fontId="89" fillId="9" borderId="221" xfId="0" applyNumberFormat="1" applyFont="1" applyFill="1" applyBorder="1" applyAlignment="1" applyProtection="1">
      <alignment horizontal="left" vertical="center"/>
      <protection hidden="1"/>
    </xf>
    <xf numFmtId="0" fontId="89" fillId="9" borderId="49" xfId="0" applyFont="1" applyFill="1" applyBorder="1" applyAlignment="1" applyProtection="1">
      <alignment horizontal="left" vertical="center"/>
      <protection hidden="1"/>
    </xf>
    <xf numFmtId="0" fontId="90" fillId="9" borderId="233" xfId="0" applyFont="1" applyFill="1" applyBorder="1" applyAlignment="1" applyProtection="1">
      <alignment horizontal="center" vertical="center" wrapText="1"/>
      <protection hidden="1"/>
    </xf>
    <xf numFmtId="0" fontId="90" fillId="9" borderId="234" xfId="0" applyFont="1" applyFill="1" applyBorder="1" applyAlignment="1" applyProtection="1">
      <alignment horizontal="center" vertical="center" wrapText="1"/>
      <protection hidden="1"/>
    </xf>
    <xf numFmtId="0" fontId="90" fillId="9" borderId="162" xfId="0" applyFont="1" applyFill="1" applyBorder="1" applyAlignment="1" applyProtection="1">
      <alignment horizontal="center" vertical="center" wrapText="1"/>
      <protection hidden="1"/>
    </xf>
    <xf numFmtId="0" fontId="90" fillId="9" borderId="34" xfId="0" applyFont="1" applyFill="1" applyBorder="1" applyAlignment="1" applyProtection="1">
      <alignment horizontal="center" vertical="center" wrapText="1"/>
      <protection hidden="1"/>
    </xf>
    <xf numFmtId="0" fontId="90" fillId="9" borderId="162" xfId="0" applyFont="1" applyFill="1" applyBorder="1" applyAlignment="1" applyProtection="1">
      <alignment horizontal="center" vertical="center"/>
      <protection hidden="1"/>
    </xf>
    <xf numFmtId="0" fontId="90" fillId="9" borderId="34" xfId="0" applyFont="1" applyFill="1" applyBorder="1" applyAlignment="1" applyProtection="1">
      <alignment horizontal="center" vertical="center"/>
      <protection hidden="1"/>
    </xf>
    <xf numFmtId="0" fontId="82" fillId="0" borderId="223" xfId="0" applyFont="1" applyFill="1" applyBorder="1" applyAlignment="1" applyProtection="1">
      <alignment horizontal="left" vertical="center"/>
      <protection hidden="1"/>
    </xf>
    <xf numFmtId="0" fontId="82" fillId="0" borderId="52" xfId="0" applyFont="1" applyFill="1" applyBorder="1" applyAlignment="1" applyProtection="1">
      <alignment horizontal="left" vertical="center"/>
      <protection hidden="1"/>
    </xf>
    <xf numFmtId="170" fontId="84" fillId="0" borderId="181" xfId="0" applyNumberFormat="1" applyFont="1" applyFill="1" applyBorder="1" applyAlignment="1" applyProtection="1">
      <alignment horizontal="left" vertical="center"/>
      <protection hidden="1"/>
    </xf>
    <xf numFmtId="170" fontId="84" fillId="0" borderId="52" xfId="0" applyNumberFormat="1" applyFont="1" applyFill="1" applyBorder="1" applyAlignment="1" applyProtection="1">
      <alignment horizontal="left" vertical="center"/>
      <protection hidden="1"/>
    </xf>
    <xf numFmtId="170" fontId="84" fillId="0" borderId="182" xfId="0" applyNumberFormat="1" applyFont="1" applyFill="1" applyBorder="1" applyAlignment="1" applyProtection="1">
      <alignment horizontal="left" vertical="center"/>
      <protection hidden="1"/>
    </xf>
    <xf numFmtId="0" fontId="82" fillId="0" borderId="196" xfId="0" applyFont="1" applyFill="1" applyBorder="1" applyAlignment="1" applyProtection="1">
      <alignment horizontal="left" vertical="center"/>
      <protection hidden="1"/>
    </xf>
    <xf numFmtId="0" fontId="82" fillId="0" borderId="190" xfId="0" applyFont="1" applyFill="1" applyBorder="1" applyAlignment="1" applyProtection="1">
      <alignment horizontal="left" vertical="center"/>
      <protection hidden="1"/>
    </xf>
    <xf numFmtId="0" fontId="82" fillId="0" borderId="25" xfId="0" applyFont="1" applyFill="1" applyBorder="1" applyAlignment="1" applyProtection="1">
      <alignment horizontal="left" vertical="center"/>
      <protection hidden="1"/>
    </xf>
    <xf numFmtId="0" fontId="82" fillId="0" borderId="0" xfId="0" applyFont="1" applyFill="1" applyBorder="1" applyAlignment="1" applyProtection="1">
      <alignment horizontal="left" vertical="center"/>
      <protection hidden="1"/>
    </xf>
    <xf numFmtId="49" fontId="88" fillId="0" borderId="0" xfId="0" applyNumberFormat="1" applyFont="1" applyFill="1" applyBorder="1" applyAlignment="1" applyProtection="1">
      <alignment horizontal="left" vertical="center"/>
      <protection locked="0"/>
    </xf>
    <xf numFmtId="49" fontId="88" fillId="0" borderId="41" xfId="0" applyNumberFormat="1" applyFont="1" applyFill="1" applyBorder="1" applyAlignment="1" applyProtection="1">
      <alignment horizontal="left" vertical="center"/>
      <protection locked="0"/>
    </xf>
    <xf numFmtId="0" fontId="82" fillId="0" borderId="181" xfId="0" applyFont="1" applyFill="1" applyBorder="1" applyAlignment="1" applyProtection="1">
      <alignment horizontal="left" vertical="center"/>
      <protection hidden="1"/>
    </xf>
    <xf numFmtId="0" fontId="82" fillId="0" borderId="22" xfId="0" applyFont="1" applyFill="1" applyBorder="1" applyAlignment="1" applyProtection="1">
      <alignment horizontal="left" vertical="center"/>
      <protection hidden="1"/>
    </xf>
    <xf numFmtId="0" fontId="82" fillId="0" borderId="187" xfId="0" applyFont="1" applyFill="1" applyBorder="1" applyAlignment="1" applyProtection="1">
      <alignment horizontal="left" vertical="center"/>
      <protection hidden="1"/>
    </xf>
    <xf numFmtId="0" fontId="82" fillId="0" borderId="201" xfId="0" applyFont="1" applyFill="1" applyBorder="1" applyAlignment="1" applyProtection="1">
      <alignment horizontal="left" vertical="center"/>
      <protection hidden="1"/>
    </xf>
    <xf numFmtId="0" fontId="82" fillId="0" borderId="55" xfId="0" applyFont="1" applyFill="1" applyBorder="1" applyAlignment="1" applyProtection="1">
      <alignment horizontal="left" vertical="center"/>
      <protection hidden="1"/>
    </xf>
    <xf numFmtId="0" fontId="84" fillId="0" borderId="190" xfId="0" applyNumberFormat="1" applyFont="1" applyFill="1" applyBorder="1" applyAlignment="1" applyProtection="1">
      <alignment horizontal="left" vertical="center" wrapText="1"/>
      <protection hidden="1"/>
    </xf>
    <xf numFmtId="0" fontId="84" fillId="0" borderId="195" xfId="0" applyNumberFormat="1" applyFont="1" applyFill="1" applyBorder="1" applyAlignment="1" applyProtection="1">
      <alignment horizontal="left" vertical="center" wrapText="1"/>
      <protection hidden="1"/>
    </xf>
    <xf numFmtId="0" fontId="82" fillId="0" borderId="42" xfId="0" applyFont="1" applyFill="1" applyBorder="1" applyAlignment="1" applyProtection="1">
      <alignment horizontal="left" vertical="center"/>
      <protection hidden="1"/>
    </xf>
    <xf numFmtId="49" fontId="85" fillId="0" borderId="190" xfId="0" applyNumberFormat="1" applyFont="1" applyFill="1" applyBorder="1" applyAlignment="1" applyProtection="1">
      <alignment horizontal="left" vertical="center"/>
      <protection hidden="1"/>
    </xf>
    <xf numFmtId="49" fontId="85" fillId="0" borderId="195" xfId="0" applyNumberFormat="1" applyFont="1" applyFill="1" applyBorder="1" applyAlignment="1" applyProtection="1">
      <alignment horizontal="left" vertical="center"/>
      <protection hidden="1"/>
    </xf>
    <xf numFmtId="0" fontId="73" fillId="0" borderId="54" xfId="0" applyFont="1" applyFill="1" applyBorder="1" applyAlignment="1" applyProtection="1">
      <alignment horizontal="left" vertical="top" wrapText="1"/>
      <protection hidden="1"/>
    </xf>
    <xf numFmtId="0" fontId="73" fillId="0" borderId="55" xfId="0" applyFont="1" applyFill="1" applyBorder="1" applyAlignment="1" applyProtection="1">
      <alignment horizontal="left" vertical="top" wrapText="1"/>
      <protection hidden="1"/>
    </xf>
    <xf numFmtId="0" fontId="76" fillId="0" borderId="223" xfId="0" applyFont="1" applyFill="1" applyBorder="1" applyAlignment="1" applyProtection="1">
      <alignment horizontal="left" vertical="top"/>
    </xf>
    <xf numFmtId="0" fontId="76" fillId="0" borderId="52" xfId="0" applyFont="1" applyFill="1" applyBorder="1" applyAlignment="1" applyProtection="1">
      <alignment horizontal="left" vertical="top"/>
    </xf>
    <xf numFmtId="0" fontId="76" fillId="15" borderId="207" xfId="0" applyFont="1" applyFill="1" applyBorder="1" applyAlignment="1" applyProtection="1">
      <alignment horizontal="center" vertical="center" wrapText="1"/>
      <protection hidden="1"/>
    </xf>
    <xf numFmtId="0" fontId="76" fillId="15" borderId="43" xfId="0" applyFont="1" applyFill="1" applyBorder="1" applyAlignment="1" applyProtection="1">
      <alignment horizontal="center" vertical="center" wrapText="1"/>
      <protection hidden="1"/>
    </xf>
    <xf numFmtId="7" fontId="76" fillId="15" borderId="184" xfId="0" applyNumberFormat="1" applyFont="1" applyFill="1" applyBorder="1" applyAlignment="1" applyProtection="1">
      <alignment horizontal="right" vertical="center"/>
      <protection hidden="1"/>
    </xf>
    <xf numFmtId="7" fontId="76" fillId="15" borderId="185" xfId="0" applyNumberFormat="1" applyFont="1" applyFill="1" applyBorder="1" applyAlignment="1" applyProtection="1">
      <alignment horizontal="right" vertical="center"/>
      <protection hidden="1"/>
    </xf>
    <xf numFmtId="49" fontId="79" fillId="0" borderId="190" xfId="0" applyNumberFormat="1" applyFont="1" applyFill="1" applyBorder="1" applyAlignment="1" applyProtection="1">
      <alignment horizontal="left" vertical="top"/>
      <protection locked="0"/>
    </xf>
    <xf numFmtId="0" fontId="81" fillId="28" borderId="231" xfId="0" applyFont="1" applyFill="1" applyBorder="1" applyAlignment="1" applyProtection="1">
      <alignment horizontal="center" vertical="center"/>
      <protection hidden="1"/>
    </xf>
    <xf numFmtId="0" fontId="81" fillId="28" borderId="185" xfId="0" applyFont="1" applyFill="1" applyBorder="1" applyAlignment="1" applyProtection="1">
      <alignment horizontal="center" vertical="center"/>
      <protection hidden="1"/>
    </xf>
    <xf numFmtId="49" fontId="0" fillId="0" borderId="46" xfId="0" applyNumberFormat="1" applyBorder="1" applyAlignment="1" applyProtection="1">
      <alignment horizontal="center" vertical="center"/>
    </xf>
    <xf numFmtId="49" fontId="0" fillId="0" borderId="47" xfId="0" applyNumberFormat="1" applyBorder="1" applyAlignment="1" applyProtection="1">
      <alignment horizontal="center" vertical="center"/>
    </xf>
    <xf numFmtId="0" fontId="32" fillId="17" borderId="48" xfId="0" applyFont="1" applyFill="1" applyBorder="1" applyAlignment="1" applyProtection="1">
      <alignment horizontal="center" vertical="center"/>
    </xf>
    <xf numFmtId="0" fontId="32" fillId="17" borderId="49" xfId="0" applyFont="1" applyFill="1" applyBorder="1" applyAlignment="1" applyProtection="1">
      <alignment horizontal="center" vertical="center"/>
    </xf>
    <xf numFmtId="0" fontId="32" fillId="17" borderId="50" xfId="0" applyFont="1" applyFill="1" applyBorder="1" applyAlignment="1" applyProtection="1">
      <alignment horizontal="center" vertical="center"/>
    </xf>
    <xf numFmtId="49" fontId="0" fillId="0" borderId="224" xfId="0" applyNumberFormat="1" applyBorder="1" applyAlignment="1" applyProtection="1">
      <alignment horizontal="center" vertical="center"/>
    </xf>
    <xf numFmtId="49" fontId="0" fillId="0" borderId="222" xfId="0" applyNumberFormat="1" applyBorder="1" applyAlignment="1" applyProtection="1">
      <alignment horizontal="center" vertical="center"/>
    </xf>
    <xf numFmtId="49" fontId="0" fillId="0" borderId="225" xfId="0" applyNumberFormat="1" applyBorder="1" applyAlignment="1" applyProtection="1">
      <alignment horizontal="center" vertical="center"/>
    </xf>
    <xf numFmtId="0" fontId="32" fillId="3" borderId="51" xfId="0" applyFont="1" applyFill="1" applyBorder="1" applyAlignment="1" applyProtection="1">
      <alignment horizontal="left" vertical="center"/>
    </xf>
    <xf numFmtId="0" fontId="32" fillId="3" borderId="52" xfId="0" applyFont="1" applyFill="1" applyBorder="1" applyAlignment="1" applyProtection="1">
      <alignment horizontal="left" vertical="center"/>
    </xf>
    <xf numFmtId="0" fontId="32" fillId="3" borderId="53" xfId="0" applyFont="1" applyFill="1" applyBorder="1" applyAlignment="1" applyProtection="1">
      <alignment horizontal="left" vertical="center"/>
    </xf>
    <xf numFmtId="0" fontId="55" fillId="0" borderId="155" xfId="0" applyFont="1" applyBorder="1" applyAlignment="1" applyProtection="1">
      <alignment horizontal="center" vertical="center"/>
    </xf>
    <xf numFmtId="0" fontId="55" fillId="0" borderId="156" xfId="0" applyFont="1" applyBorder="1" applyAlignment="1" applyProtection="1">
      <alignment horizontal="center" vertical="center"/>
    </xf>
    <xf numFmtId="0" fontId="46" fillId="0" borderId="157" xfId="0" applyFont="1" applyBorder="1" applyAlignment="1" applyProtection="1">
      <alignment horizontal="center" vertical="center"/>
    </xf>
    <xf numFmtId="0" fontId="46" fillId="0" borderId="76" xfId="0" applyFont="1" applyBorder="1" applyAlignment="1" applyProtection="1">
      <alignment horizontal="center" vertical="center"/>
    </xf>
    <xf numFmtId="0" fontId="32" fillId="3" borderId="226" xfId="0" applyFont="1" applyFill="1" applyBorder="1" applyAlignment="1" applyProtection="1">
      <alignment horizontal="left" vertical="center"/>
    </xf>
    <xf numFmtId="0" fontId="32" fillId="3" borderId="199" xfId="0" applyFont="1" applyFill="1" applyBorder="1" applyAlignment="1" applyProtection="1">
      <alignment horizontal="left" vertical="center"/>
    </xf>
    <xf numFmtId="0" fontId="32" fillId="3" borderId="227" xfId="0" applyFont="1" applyFill="1" applyBorder="1" applyAlignment="1" applyProtection="1">
      <alignment horizontal="left" vertical="center"/>
    </xf>
    <xf numFmtId="0" fontId="32" fillId="17" borderId="48" xfId="0" applyFont="1" applyFill="1" applyBorder="1" applyAlignment="1" applyProtection="1">
      <alignment horizontal="center" vertical="center"/>
      <protection locked="0"/>
    </xf>
    <xf numFmtId="0" fontId="32" fillId="17" borderId="49" xfId="0" applyFont="1" applyFill="1" applyBorder="1" applyAlignment="1" applyProtection="1">
      <alignment horizontal="center" vertical="center"/>
      <protection locked="0"/>
    </xf>
    <xf numFmtId="0" fontId="32" fillId="17" borderId="50" xfId="0" applyFont="1" applyFill="1" applyBorder="1" applyAlignment="1" applyProtection="1">
      <alignment horizontal="center" vertical="center"/>
      <protection locked="0"/>
    </xf>
    <xf numFmtId="0" fontId="56" fillId="22" borderId="54" xfId="0" applyFont="1" applyFill="1" applyBorder="1" applyAlignment="1" applyProtection="1">
      <alignment horizontal="left" vertical="center"/>
    </xf>
    <xf numFmtId="0" fontId="57" fillId="0" borderId="55" xfId="0" applyFont="1" applyBorder="1" applyProtection="1"/>
    <xf numFmtId="0" fontId="58" fillId="22" borderId="26" xfId="0" applyFont="1" applyFill="1" applyBorder="1" applyAlignment="1" applyProtection="1">
      <alignment horizontal="left" vertical="center" wrapText="1"/>
    </xf>
    <xf numFmtId="0" fontId="33" fillId="0" borderId="56" xfId="0" applyFont="1" applyBorder="1" applyAlignment="1" applyProtection="1">
      <alignment horizontal="left"/>
    </xf>
    <xf numFmtId="3" fontId="59" fillId="0" borderId="158" xfId="0" applyNumberFormat="1" applyFont="1" applyBorder="1" applyAlignment="1" applyProtection="1">
      <alignment horizontal="center" vertical="center"/>
    </xf>
    <xf numFmtId="3" fontId="59" fillId="0" borderId="159" xfId="0" applyNumberFormat="1" applyFont="1" applyBorder="1" applyAlignment="1" applyProtection="1">
      <alignment horizontal="center" vertical="center"/>
    </xf>
    <xf numFmtId="3" fontId="59" fillId="0" borderId="160" xfId="0" applyNumberFormat="1" applyFont="1" applyBorder="1" applyAlignment="1" applyProtection="1">
      <alignment horizontal="center" vertical="center"/>
    </xf>
    <xf numFmtId="3" fontId="59" fillId="0" borderId="161" xfId="0" applyNumberFormat="1" applyFont="1" applyBorder="1" applyAlignment="1" applyProtection="1">
      <alignment horizontal="center" vertical="center"/>
    </xf>
    <xf numFmtId="0" fontId="11" fillId="18" borderId="57" xfId="3" applyFont="1" applyFill="1" applyBorder="1" applyAlignment="1" applyProtection="1">
      <alignment vertical="center" wrapText="1"/>
      <protection hidden="1"/>
    </xf>
    <xf numFmtId="0" fontId="11" fillId="18" borderId="58" xfId="3" applyFont="1" applyFill="1" applyBorder="1" applyAlignment="1" applyProtection="1">
      <alignment vertical="center" wrapText="1"/>
      <protection hidden="1"/>
    </xf>
    <xf numFmtId="0" fontId="11" fillId="18" borderId="59" xfId="3" applyFont="1" applyFill="1" applyBorder="1" applyAlignment="1" applyProtection="1">
      <alignment vertical="center" wrapText="1"/>
      <protection hidden="1"/>
    </xf>
    <xf numFmtId="0" fontId="32" fillId="23" borderId="35" xfId="0" applyFont="1" applyFill="1" applyBorder="1" applyAlignment="1" applyProtection="1">
      <alignment horizontal="left" vertical="center"/>
    </xf>
    <xf numFmtId="0" fontId="32" fillId="23" borderId="36" xfId="0" applyFont="1" applyFill="1" applyBorder="1" applyAlignment="1" applyProtection="1">
      <alignment horizontal="left" vertical="center"/>
    </xf>
    <xf numFmtId="0" fontId="0" fillId="15" borderId="38" xfId="0" applyFill="1" applyBorder="1" applyAlignment="1" applyProtection="1">
      <alignment horizontal="left" vertical="center"/>
    </xf>
    <xf numFmtId="0" fontId="0" fillId="15" borderId="33" xfId="0" applyFill="1" applyBorder="1" applyAlignment="1" applyProtection="1">
      <alignment horizontal="left" vertical="center"/>
    </xf>
    <xf numFmtId="0" fontId="0" fillId="0" borderId="38" xfId="0" applyBorder="1" applyAlignment="1" applyProtection="1">
      <alignment horizontal="center" vertical="center"/>
    </xf>
    <xf numFmtId="0" fontId="0" fillId="0" borderId="165" xfId="0" applyBorder="1" applyAlignment="1" applyProtection="1">
      <alignment horizontal="center" vertical="center"/>
    </xf>
    <xf numFmtId="0" fontId="0" fillId="0" borderId="39" xfId="0" applyBorder="1" applyAlignment="1" applyProtection="1">
      <alignment horizontal="center" vertical="center"/>
    </xf>
    <xf numFmtId="166" fontId="61" fillId="25" borderId="169" xfId="0" applyNumberFormat="1" applyFont="1" applyFill="1" applyBorder="1" applyAlignment="1">
      <alignment horizontal="right" vertical="center"/>
    </xf>
    <xf numFmtId="166" fontId="61" fillId="24" borderId="212" xfId="0" applyNumberFormat="1" applyFont="1" applyFill="1" applyBorder="1" applyAlignment="1">
      <alignment horizontal="right" vertical="center"/>
    </xf>
    <xf numFmtId="166" fontId="61" fillId="24" borderId="214" xfId="0" applyNumberFormat="1" applyFont="1" applyFill="1" applyBorder="1" applyAlignment="1">
      <alignment horizontal="right" vertical="center"/>
    </xf>
    <xf numFmtId="166" fontId="61" fillId="24" borderId="218" xfId="0" applyNumberFormat="1" applyFont="1" applyFill="1" applyBorder="1" applyAlignment="1">
      <alignment horizontal="right" vertical="center"/>
    </xf>
    <xf numFmtId="166" fontId="71" fillId="24" borderId="183" xfId="0" applyNumberFormat="1" applyFont="1" applyFill="1" applyBorder="1" applyAlignment="1">
      <alignment horizontal="right" vertical="center"/>
    </xf>
    <xf numFmtId="166" fontId="71" fillId="24" borderId="185" xfId="0" applyNumberFormat="1" applyFont="1" applyFill="1" applyBorder="1" applyAlignment="1">
      <alignment horizontal="right" vertical="center"/>
    </xf>
    <xf numFmtId="166" fontId="27" fillId="20" borderId="175" xfId="0" applyNumberFormat="1" applyFont="1" applyFill="1" applyBorder="1" applyAlignment="1">
      <alignment horizontal="right" vertical="center"/>
    </xf>
    <xf numFmtId="166" fontId="27" fillId="20" borderId="176" xfId="0" applyNumberFormat="1" applyFont="1" applyFill="1" applyBorder="1" applyAlignment="1">
      <alignment horizontal="right" vertical="center"/>
    </xf>
    <xf numFmtId="166" fontId="27" fillId="20" borderId="34" xfId="0" applyNumberFormat="1" applyFont="1" applyFill="1" applyBorder="1" applyAlignment="1">
      <alignment horizontal="right" vertical="center"/>
    </xf>
    <xf numFmtId="166" fontId="27" fillId="20" borderId="14" xfId="0" applyNumberFormat="1" applyFont="1" applyFill="1" applyBorder="1" applyAlignment="1">
      <alignment horizontal="right" vertical="center"/>
    </xf>
    <xf numFmtId="166" fontId="27" fillId="2" borderId="175" xfId="0" applyNumberFormat="1" applyFont="1" applyFill="1" applyBorder="1" applyAlignment="1">
      <alignment horizontal="right" vertical="center"/>
    </xf>
    <xf numFmtId="166" fontId="70" fillId="3" borderId="169" xfId="0" applyNumberFormat="1" applyFont="1" applyFill="1" applyBorder="1" applyAlignment="1">
      <alignment horizontal="right" vertical="center"/>
    </xf>
    <xf numFmtId="166" fontId="70" fillId="3" borderId="216" xfId="0" applyNumberFormat="1" applyFont="1" applyFill="1" applyBorder="1" applyAlignment="1">
      <alignment horizontal="right" vertical="center"/>
    </xf>
    <xf numFmtId="166" fontId="70" fillId="3" borderId="217" xfId="0" applyNumberFormat="1" applyFont="1" applyFill="1" applyBorder="1" applyAlignment="1">
      <alignment horizontal="right" vertical="center"/>
    </xf>
    <xf numFmtId="166" fontId="27" fillId="2" borderId="36" xfId="0" applyNumberFormat="1" applyFont="1" applyFill="1" applyBorder="1" applyAlignment="1">
      <alignment horizontal="right" vertical="center"/>
    </xf>
    <xf numFmtId="166" fontId="27" fillId="2" borderId="162" xfId="0" applyNumberFormat="1" applyFont="1" applyFill="1" applyBorder="1" applyAlignment="1">
      <alignment horizontal="right" vertical="center"/>
    </xf>
    <xf numFmtId="166" fontId="27" fillId="2" borderId="34" xfId="0" applyNumberFormat="1" applyFont="1" applyFill="1" applyBorder="1" applyAlignment="1">
      <alignment horizontal="right" vertical="center"/>
    </xf>
    <xf numFmtId="0" fontId="27" fillId="0" borderId="0" xfId="0" applyFont="1" applyAlignment="1">
      <alignment horizontal="center"/>
    </xf>
    <xf numFmtId="0" fontId="29" fillId="18" borderId="172" xfId="0" applyFont="1" applyFill="1" applyBorder="1" applyAlignment="1">
      <alignment horizontal="center" vertical="center"/>
    </xf>
    <xf numFmtId="0" fontId="29" fillId="20" borderId="172" xfId="0" applyFont="1" applyFill="1" applyBorder="1" applyAlignment="1">
      <alignment horizontal="center" vertical="center"/>
    </xf>
    <xf numFmtId="0" fontId="29" fillId="20" borderId="173" xfId="0" applyFont="1" applyFill="1" applyBorder="1" applyAlignment="1">
      <alignment horizontal="center" vertical="center"/>
    </xf>
    <xf numFmtId="166" fontId="27" fillId="20" borderId="36" xfId="0" applyNumberFormat="1" applyFont="1" applyFill="1" applyBorder="1" applyAlignment="1">
      <alignment horizontal="right" vertical="center"/>
    </xf>
    <xf numFmtId="166" fontId="27" fillId="20" borderId="37" xfId="0" applyNumberFormat="1" applyFont="1" applyFill="1" applyBorder="1" applyAlignment="1">
      <alignment horizontal="right" vertical="center"/>
    </xf>
    <xf numFmtId="166" fontId="27" fillId="20" borderId="162" xfId="0" applyNumberFormat="1" applyFont="1" applyFill="1" applyBorder="1" applyAlignment="1">
      <alignment horizontal="right" vertical="center"/>
    </xf>
    <xf numFmtId="166" fontId="27" fillId="20" borderId="163" xfId="0" applyNumberFormat="1" applyFont="1" applyFill="1" applyBorder="1" applyAlignment="1">
      <alignment horizontal="right" vertical="center"/>
    </xf>
    <xf numFmtId="0" fontId="106" fillId="15" borderId="192" xfId="4" applyFont="1" applyFill="1" applyBorder="1" applyAlignment="1">
      <alignment vertical="center"/>
    </xf>
    <xf numFmtId="0" fontId="106" fillId="15" borderId="193" xfId="4" applyFont="1" applyFill="1" applyBorder="1" applyAlignment="1">
      <alignment horizontal="left" vertical="center"/>
    </xf>
    <xf numFmtId="0" fontId="106" fillId="15" borderId="211" xfId="4" applyFont="1" applyFill="1" applyBorder="1" applyAlignment="1">
      <alignment horizontal="left" vertical="center"/>
    </xf>
  </cellXfs>
  <cellStyles count="6">
    <cellStyle name="Čárka 2" xfId="5"/>
    <cellStyle name="Normální" xfId="0" builtinId="0"/>
    <cellStyle name="Normální 2" xfId="4"/>
    <cellStyle name="Normální 3" xfId="1"/>
    <cellStyle name="Normální 36" xfId="2"/>
    <cellStyle name="normální_Priloha H1 - vzor 7 6 3 08 (2)" xfId="3"/>
  </cellStyles>
  <dxfs count="181">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CC"/>
        </patternFill>
      </fill>
    </dxf>
    <dxf>
      <fill>
        <patternFill>
          <bgColor theme="0"/>
        </patternFill>
      </fill>
    </dxf>
    <dxf>
      <fill>
        <patternFill>
          <bgColor rgb="FFFF0000"/>
        </patternFill>
      </fill>
    </dxf>
    <dxf>
      <fill>
        <patternFill>
          <bgColor rgb="FFFFFFCC"/>
        </patternFill>
      </fill>
    </dxf>
    <dxf>
      <fill>
        <patternFill>
          <bgColor theme="0"/>
        </patternFill>
      </fill>
    </dxf>
    <dxf>
      <fill>
        <patternFill>
          <bgColor rgb="FFFFFFCC"/>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strike/>
      </font>
    </dxf>
    <dxf>
      <fill>
        <patternFill>
          <bgColor rgb="FFFF0000"/>
        </patternFill>
      </fill>
    </dxf>
    <dxf>
      <font>
        <strike/>
      </font>
    </dxf>
    <dxf>
      <font>
        <strike/>
      </font>
    </dxf>
    <dxf>
      <font>
        <strike/>
      </font>
    </dxf>
    <dxf>
      <font>
        <strike/>
      </font>
    </dxf>
    <dxf>
      <font>
        <strike/>
      </font>
    </dxf>
  </dxfs>
  <tableStyles count="0" defaultTableStyle="TableStyleMedium9" defaultPivotStyle="PivotStyleLight16"/>
  <colors>
    <mruColors>
      <color rgb="FFFFFF66"/>
      <color rgb="FFFFFF99"/>
      <color rgb="FFFFFFCC"/>
      <color rgb="FFEDD47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85848</xdr:colOff>
      <xdr:row>5</xdr:row>
      <xdr:rowOff>0</xdr:rowOff>
    </xdr:from>
    <xdr:to>
      <xdr:col>29</xdr:col>
      <xdr:colOff>27707</xdr:colOff>
      <xdr:row>5</xdr:row>
      <xdr:rowOff>0</xdr:rowOff>
    </xdr:to>
    <xdr:sp macro="" textlink="">
      <xdr:nvSpPr>
        <xdr:cNvPr id="12" name="Čárový popisek 2 11"/>
        <xdr:cNvSpPr/>
      </xdr:nvSpPr>
      <xdr:spPr>
        <a:xfrm>
          <a:off x="17598241" y="4789708"/>
          <a:ext cx="8419109" cy="3905251"/>
        </a:xfrm>
        <a:prstGeom prst="borderCallout2">
          <a:avLst>
            <a:gd name="adj1" fmla="val 18750"/>
            <a:gd name="adj2" fmla="val -314"/>
            <a:gd name="adj3" fmla="val 18750"/>
            <a:gd name="adj4" fmla="val -5303"/>
            <a:gd name="adj5" fmla="val -45446"/>
            <a:gd name="adj6" fmla="val -7839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defTabSz="914400" eaLnBrk="1" fontAlgn="auto" latinLnBrk="0" hangingPunct="1">
            <a:lnSpc>
              <a:spcPct val="100000"/>
            </a:lnSpc>
            <a:spcBef>
              <a:spcPts val="0"/>
            </a:spcBef>
            <a:spcAft>
              <a:spcPts val="0"/>
            </a:spcAft>
            <a:buClrTx/>
            <a:buSzTx/>
            <a:buFontTx/>
            <a:buNone/>
            <a:tabLst/>
            <a:defRPr/>
          </a:pPr>
          <a:r>
            <a:rPr lang="cs-CZ" sz="1600" b="1" u="sng">
              <a:solidFill>
                <a:schemeClr val="lt1"/>
              </a:solidFill>
              <a:effectLst/>
              <a:latin typeface="+mn-lt"/>
              <a:ea typeface="+mn-ea"/>
              <a:cs typeface="+mn-cs"/>
            </a:rPr>
            <a:t>Vyplňuje Objednatel (SŽ)</a:t>
          </a:r>
          <a:endParaRPr lang="cs-CZ" sz="2400">
            <a:effectLst/>
          </a:endParaRPr>
        </a:p>
        <a:p>
          <a:r>
            <a:rPr lang="cs-CZ" sz="1600" b="1">
              <a:solidFill>
                <a:schemeClr val="lt1"/>
              </a:solidFill>
              <a:effectLst/>
              <a:latin typeface="+mn-lt"/>
              <a:ea typeface="+mn-ea"/>
              <a:cs typeface="+mn-cs"/>
            </a:rPr>
            <a:t>Podrobný popis náplně daného SO např. tak jak je uveden v souhrnné technické zprávě, např:</a:t>
          </a:r>
          <a:endParaRPr lang="cs-CZ" sz="1600" b="1">
            <a:effectLst/>
          </a:endParaRPr>
        </a:p>
        <a:p>
          <a:r>
            <a:rPr lang="cs-CZ" sz="1600" b="1">
              <a:solidFill>
                <a:schemeClr val="lt1"/>
              </a:solidFill>
              <a:effectLst/>
              <a:latin typeface="+mn-lt"/>
              <a:ea typeface="+mn-ea"/>
              <a:cs typeface="+mn-cs"/>
            </a:rPr>
            <a:t>"BTS je umístěna na pozemku ČD a.s., vpravo ve směru staničení, na volné ploše na konci příjezdové komunikace k VB. Příjezd k místu situování BTS je možný po místní asfaltové a štěrkové komunikaci. V této lokalitě bude instalována nová jednosektorová BTS ve vnitřním provedení. Technologie BTS bude umístěna v novém samostatném technologickém domku se sedlovou střechou. Anténa bude umístěna na novém stožáru výšky 25m. Anténní systém bude sestaven ze 2ks antén. Pro připojení BTS do systému GSM-R se mezi BTS a sdělovací místností ve VB položí nový MOK v délce cca 220m, který se zafoukne do chráničky HDPE, pokládka trubky je součástí BTS. Pro přenos spojovacích traktů E1 bude využito stávající přenosové zařízení SDH STM-4 ve sdělovací místnosti VB. Pro napojení na přenosové zařízení se BTS doplní optickým modemem pro přenos E1. Napájení technologického domku BTS bude provedeno z NN rozvaděče stávající KS01 pilíři v žkm 4,9. Měření spotřeby elektrické energie bude v rozvaděči NN trafostanice. Detailnější informace viz. Dokumentace stavby - část D textové a výkresové přílohy."</a:t>
          </a:r>
          <a:endParaRPr lang="cs-CZ" sz="1600" b="1">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1490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05492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98729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topLeftCell="A7" zoomScaleNormal="100" workbookViewId="0">
      <selection activeCell="H4" sqref="H4"/>
    </sheetView>
  </sheetViews>
  <sheetFormatPr defaultRowHeight="15" x14ac:dyDescent="0.25"/>
  <cols>
    <col min="1" max="1" width="18.140625" customWidth="1"/>
    <col min="2" max="2" width="29.85546875" customWidth="1"/>
    <col min="3" max="3" width="24.28515625" customWidth="1"/>
  </cols>
  <sheetData>
    <row r="1" spans="1:3" x14ac:dyDescent="0.25">
      <c r="A1" s="368" t="s">
        <v>64</v>
      </c>
      <c r="B1" s="369"/>
      <c r="C1" s="19" t="e">
        <f>#REF!</f>
        <v>#REF!</v>
      </c>
    </row>
    <row r="2" spans="1:3" ht="15" customHeight="1" x14ac:dyDescent="0.25">
      <c r="A2" s="368" t="s">
        <v>129</v>
      </c>
      <c r="B2" s="369"/>
      <c r="C2" s="19" t="e">
        <f>#REF!</f>
        <v>#REF!</v>
      </c>
    </row>
    <row r="3" spans="1:3" ht="15" customHeight="1" x14ac:dyDescent="0.25">
      <c r="A3" s="368" t="s">
        <v>130</v>
      </c>
      <c r="B3" s="369"/>
      <c r="C3" s="19" t="e">
        <f>#REF!</f>
        <v>#REF!</v>
      </c>
    </row>
    <row r="4" spans="1:3" ht="37.5" customHeight="1" x14ac:dyDescent="0.25">
      <c r="A4" s="368" t="s">
        <v>132</v>
      </c>
      <c r="B4" s="369"/>
      <c r="C4" s="19" t="e">
        <f>#REF!</f>
        <v>#REF!</v>
      </c>
    </row>
    <row r="5" spans="1:3" ht="37.5" customHeight="1" x14ac:dyDescent="0.25">
      <c r="A5" s="368" t="s">
        <v>131</v>
      </c>
      <c r="B5" s="369"/>
      <c r="C5" s="19" t="e">
        <f>#REF!</f>
        <v>#REF!</v>
      </c>
    </row>
    <row r="6" spans="1:3" ht="37.5" customHeight="1" thickBot="1" x14ac:dyDescent="0.3">
      <c r="A6" s="370" t="s">
        <v>39</v>
      </c>
      <c r="B6" s="371"/>
      <c r="C6" s="20" t="e">
        <f>'Náklady stavební'!F2</f>
        <v>#REF!</v>
      </c>
    </row>
    <row r="7" spans="1:3" ht="37.5" customHeight="1" thickTop="1" x14ac:dyDescent="0.25">
      <c r="A7" s="389" t="e">
        <f>IF($C$5="ANO",IF($C$4="ANO","Dokumentace pro umístění v území nelze zadat formou P+R",""),"")</f>
        <v>#REF!</v>
      </c>
      <c r="B7" s="389"/>
      <c r="C7" s="389"/>
    </row>
    <row r="8" spans="1:3" ht="15.75" thickBot="1" x14ac:dyDescent="0.3">
      <c r="A8" s="99"/>
      <c r="B8" s="99"/>
      <c r="C8" s="99"/>
    </row>
    <row r="9" spans="1:3" ht="18" customHeight="1" thickTop="1" thickBot="1" x14ac:dyDescent="0.3">
      <c r="A9" s="1" t="s">
        <v>40</v>
      </c>
      <c r="B9" s="2" t="s">
        <v>41</v>
      </c>
    </row>
    <row r="10" spans="1:3" ht="15.75" thickTop="1" x14ac:dyDescent="0.25">
      <c r="A10" s="8" t="s">
        <v>29</v>
      </c>
      <c r="B10" s="5" t="e">
        <f>'Náklady stavební'!I3</f>
        <v>#REF!</v>
      </c>
    </row>
    <row r="11" spans="1:3" x14ac:dyDescent="0.25">
      <c r="A11" s="9" t="s">
        <v>57</v>
      </c>
      <c r="B11" s="6" t="e">
        <f>'Náklady stavební'!J3</f>
        <v>#REF!</v>
      </c>
      <c r="C11" s="17"/>
    </row>
    <row r="12" spans="1:3" x14ac:dyDescent="0.25">
      <c r="A12" s="9" t="s">
        <v>60</v>
      </c>
      <c r="B12" s="6" t="e">
        <f>'Náklady stavební'!K3</f>
        <v>#REF!</v>
      </c>
    </row>
    <row r="13" spans="1:3" x14ac:dyDescent="0.25">
      <c r="A13" s="10" t="s">
        <v>56</v>
      </c>
      <c r="B13" s="7" t="e">
        <f>'Náklady stavební'!L3</f>
        <v>#REF!</v>
      </c>
    </row>
    <row r="14" spans="1:3" x14ac:dyDescent="0.25">
      <c r="A14" s="10" t="s">
        <v>30</v>
      </c>
      <c r="B14" s="7" t="e">
        <f>'Náklady stavební'!M3</f>
        <v>#REF!</v>
      </c>
    </row>
    <row r="15" spans="1:3" x14ac:dyDescent="0.25">
      <c r="A15" s="10" t="s">
        <v>31</v>
      </c>
      <c r="B15" s="7" t="e">
        <f>'Náklady stavební'!N3</f>
        <v>#REF!</v>
      </c>
    </row>
    <row r="16" spans="1:3" x14ac:dyDescent="0.25">
      <c r="A16" s="10" t="s">
        <v>32</v>
      </c>
      <c r="B16" s="7" t="e">
        <f>'Náklady stavební'!O3</f>
        <v>#REF!</v>
      </c>
    </row>
    <row r="17" spans="1:3" x14ac:dyDescent="0.25">
      <c r="A17" s="10" t="s">
        <v>46</v>
      </c>
      <c r="B17" s="7" t="e">
        <f>'Náklady stavební'!P3</f>
        <v>#REF!</v>
      </c>
    </row>
    <row r="18" spans="1:3" ht="21.75" customHeight="1" x14ac:dyDescent="0.25">
      <c r="A18" s="10" t="s">
        <v>118</v>
      </c>
      <c r="B18" s="84" t="e">
        <f>IF(('Náklady stavební'!F11+'Náklady stavební'!F20+'Náklady stavební'!F29)=0,0,350000)</f>
        <v>#REF!</v>
      </c>
    </row>
    <row r="19" spans="1:3" ht="20.25" customHeight="1" x14ac:dyDescent="0.25">
      <c r="A19" s="10" t="s">
        <v>119</v>
      </c>
      <c r="B19" s="84" t="e">
        <f>IF('Náklady stavební'!F1=0,0,30000)</f>
        <v>#REF!</v>
      </c>
    </row>
    <row r="20" spans="1:3" x14ac:dyDescent="0.25">
      <c r="A20" s="10" t="s">
        <v>121</v>
      </c>
      <c r="B20" s="84" t="e">
        <f>IF('Náklady stavební'!F1=0,0,25000)</f>
        <v>#REF!</v>
      </c>
    </row>
    <row r="21" spans="1:3" x14ac:dyDescent="0.25">
      <c r="A21" s="11" t="s">
        <v>35</v>
      </c>
      <c r="B21" s="7" t="e">
        <f>'Náklady stavební'!Q3</f>
        <v>#REF!</v>
      </c>
    </row>
    <row r="22" spans="1:3" ht="15.75" thickBot="1" x14ac:dyDescent="0.3">
      <c r="A22" s="12" t="s">
        <v>47</v>
      </c>
      <c r="B22" s="13" t="e">
        <f>'Náklady stavební'!R3</f>
        <v>#REF!</v>
      </c>
    </row>
    <row r="23" spans="1:3" ht="15.75" thickTop="1" x14ac:dyDescent="0.25">
      <c r="A23" s="4" t="s">
        <v>48</v>
      </c>
    </row>
    <row r="24" spans="1:3" x14ac:dyDescent="0.25">
      <c r="A24" s="4" t="s">
        <v>66</v>
      </c>
    </row>
    <row r="25" spans="1:3" x14ac:dyDescent="0.25">
      <c r="A25" s="4" t="s">
        <v>120</v>
      </c>
    </row>
    <row r="26" spans="1:3" ht="15.75" thickBot="1" x14ac:dyDescent="0.3"/>
    <row r="27" spans="1:3" ht="16.5" thickTop="1" x14ac:dyDescent="0.25">
      <c r="A27" s="386" t="s">
        <v>43</v>
      </c>
      <c r="B27" s="387"/>
      <c r="C27" s="388"/>
    </row>
    <row r="28" spans="1:3" ht="15.75" thickBot="1" x14ac:dyDescent="0.3">
      <c r="A28" s="384" t="s">
        <v>42</v>
      </c>
      <c r="B28" s="385"/>
      <c r="C28" s="3" t="s">
        <v>41</v>
      </c>
    </row>
    <row r="29" spans="1:3" ht="15.75" thickTop="1" x14ac:dyDescent="0.25">
      <c r="A29" s="374" t="s">
        <v>72</v>
      </c>
      <c r="B29" s="375"/>
      <c r="C29" s="14" t="e">
        <f>45%*'Náklady stavební'!O3</f>
        <v>#REF!</v>
      </c>
    </row>
    <row r="30" spans="1:3" x14ac:dyDescent="0.25">
      <c r="A30" s="376" t="s">
        <v>44</v>
      </c>
      <c r="B30" s="377"/>
      <c r="C30" s="15" t="e">
        <f>45%*'Náklady stavební'!O3</f>
        <v>#REF!</v>
      </c>
    </row>
    <row r="31" spans="1:3" ht="15.75" thickBot="1" x14ac:dyDescent="0.3">
      <c r="A31" s="378" t="s">
        <v>45</v>
      </c>
      <c r="B31" s="379"/>
      <c r="C31" s="16" t="e">
        <f>'Náklady stavební'!O3-C29-C30</f>
        <v>#REF!</v>
      </c>
    </row>
    <row r="32" spans="1:3" x14ac:dyDescent="0.25">
      <c r="A32" s="380" t="s">
        <v>49</v>
      </c>
      <c r="B32" s="381"/>
      <c r="C32" s="15" t="e">
        <f>0.3%*C35</f>
        <v>#REF!</v>
      </c>
    </row>
    <row r="33" spans="1:3" ht="15.75" thickBot="1" x14ac:dyDescent="0.3">
      <c r="A33" s="382" t="s">
        <v>50</v>
      </c>
      <c r="B33" s="383"/>
      <c r="C33" s="77" t="e">
        <f>0.1%*C35</f>
        <v>#REF!</v>
      </c>
    </row>
    <row r="34" spans="1:3" ht="16.5" thickTop="1" thickBot="1" x14ac:dyDescent="0.3"/>
    <row r="35" spans="1:3" ht="20.25" thickTop="1" thickBot="1" x14ac:dyDescent="0.3">
      <c r="A35" s="372" t="s">
        <v>0</v>
      </c>
      <c r="B35" s="373"/>
      <c r="C35" s="18" t="e">
        <f>'Náklady stavební'!F1</f>
        <v>#REF!</v>
      </c>
    </row>
    <row r="36" spans="1:3" ht="15.75" thickTop="1" x14ac:dyDescent="0.25"/>
  </sheetData>
  <mergeCells count="15">
    <mergeCell ref="A1:B1"/>
    <mergeCell ref="A5:B5"/>
    <mergeCell ref="A6:B6"/>
    <mergeCell ref="A35:B35"/>
    <mergeCell ref="A29:B29"/>
    <mergeCell ref="A30:B30"/>
    <mergeCell ref="A31:B31"/>
    <mergeCell ref="A32:B32"/>
    <mergeCell ref="A33:B33"/>
    <mergeCell ref="A28:B28"/>
    <mergeCell ref="A27:C27"/>
    <mergeCell ref="A2:B2"/>
    <mergeCell ref="A3:B3"/>
    <mergeCell ref="A7:C7"/>
    <mergeCell ref="A4:B4"/>
  </mergeCells>
  <conditionalFormatting sqref="C2">
    <cfRule type="expression" dxfId="180" priority="5" stopIfTrue="1">
      <formula>$C$4="ANO"</formula>
    </cfRule>
    <cfRule type="expression" dxfId="179" priority="6" stopIfTrue="1">
      <formula>$C$3="ANO"</formula>
    </cfRule>
  </conditionalFormatting>
  <conditionalFormatting sqref="C3">
    <cfRule type="expression" dxfId="178" priority="3">
      <formula>$C$4="ANO"</formula>
    </cfRule>
  </conditionalFormatting>
  <conditionalFormatting sqref="C4">
    <cfRule type="expression" dxfId="177" priority="2">
      <formula>$C$3="ANO"</formula>
    </cfRule>
    <cfRule type="expression" dxfId="176" priority="264" stopIfTrue="1">
      <formula>$C$3="ANO"</formula>
    </cfRule>
    <cfRule type="expression" dxfId="175" priority="265" stopIfTrue="1">
      <formula>IF($C$4="ANO",IF($C$5="ANO",1,0))=1</formula>
    </cfRule>
  </conditionalFormatting>
  <conditionalFormatting sqref="C5">
    <cfRule type="expression" dxfId="174" priority="1">
      <formula>$C$4="ANO"</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6"/>
  <sheetViews>
    <sheetView tabSelected="1" zoomScale="50" zoomScaleNormal="50" zoomScalePageLayoutView="70" workbookViewId="0">
      <selection activeCell="B1" sqref="B1:E1"/>
    </sheetView>
  </sheetViews>
  <sheetFormatPr defaultRowHeight="15" x14ac:dyDescent="0.25"/>
  <cols>
    <col min="1" max="1" width="15.85546875" style="348" customWidth="1"/>
    <col min="2" max="2" width="33.140625" style="349" customWidth="1"/>
    <col min="3" max="3" width="118.28515625" style="349" customWidth="1"/>
    <col min="4" max="4" width="27.42578125" style="349" customWidth="1"/>
    <col min="5" max="5" width="30.28515625" style="348" customWidth="1"/>
    <col min="7" max="22" width="5.7109375" customWidth="1"/>
  </cols>
  <sheetData>
    <row r="1" spans="1:7" ht="39.75" customHeight="1" thickBot="1" x14ac:dyDescent="0.3">
      <c r="A1" s="500" t="s">
        <v>225</v>
      </c>
      <c r="B1" s="501" t="s">
        <v>226</v>
      </c>
      <c r="C1" s="501"/>
      <c r="D1" s="501"/>
      <c r="E1" s="502"/>
    </row>
    <row r="2" spans="1:7" ht="39" customHeight="1" thickBot="1" x14ac:dyDescent="0.3">
      <c r="A2" s="390"/>
      <c r="B2" s="391"/>
      <c r="C2" s="391"/>
      <c r="D2" s="335" t="s">
        <v>206</v>
      </c>
      <c r="E2" s="336">
        <f>SUM(E5:E6)</f>
        <v>0</v>
      </c>
    </row>
    <row r="3" spans="1:7" s="340" customFormat="1" ht="21.75" customHeight="1" x14ac:dyDescent="0.25">
      <c r="A3" s="337"/>
      <c r="B3" s="338"/>
      <c r="C3" s="392" t="s">
        <v>207</v>
      </c>
      <c r="D3" s="393"/>
      <c r="E3" s="339"/>
    </row>
    <row r="4" spans="1:7" s="340" customFormat="1" ht="36" customHeight="1" thickBot="1" x14ac:dyDescent="0.3">
      <c r="A4" s="365" t="s">
        <v>208</v>
      </c>
      <c r="B4" s="366" t="s">
        <v>71</v>
      </c>
      <c r="C4" s="341" t="s">
        <v>209</v>
      </c>
      <c r="D4" s="342" t="s">
        <v>210</v>
      </c>
      <c r="E4" s="343" t="s">
        <v>211</v>
      </c>
    </row>
    <row r="5" spans="1:7" s="347" customFormat="1" ht="339.75" customHeight="1" thickTop="1" thickBot="1" x14ac:dyDescent="0.3">
      <c r="A5" s="367" t="s">
        <v>221</v>
      </c>
      <c r="B5" s="367" t="s">
        <v>223</v>
      </c>
      <c r="C5" s="344" t="s">
        <v>219</v>
      </c>
      <c r="D5" s="345" t="s">
        <v>220</v>
      </c>
      <c r="E5" s="346"/>
      <c r="G5" s="361"/>
    </row>
    <row r="6" spans="1:7" s="347" customFormat="1" ht="150" customHeight="1" thickTop="1" x14ac:dyDescent="0.25">
      <c r="A6" s="367" t="s">
        <v>222</v>
      </c>
      <c r="B6" s="367" t="s">
        <v>224</v>
      </c>
      <c r="C6" s="362" t="s">
        <v>218</v>
      </c>
      <c r="D6" s="363" t="s">
        <v>220</v>
      </c>
      <c r="E6" s="364"/>
    </row>
  </sheetData>
  <mergeCells count="3">
    <mergeCell ref="A2:C2"/>
    <mergeCell ref="C3:D3"/>
    <mergeCell ref="B1:E1"/>
  </mergeCells>
  <conditionalFormatting sqref="B1:E1">
    <cfRule type="expression" dxfId="1" priority="2">
      <formula>$B$1="Název stavby"</formula>
    </cfRule>
  </conditionalFormatting>
  <conditionalFormatting sqref="A1">
    <cfRule type="expression" dxfId="0" priority="1">
      <formula>$A$1="Stavba X:"</formula>
    </cfRule>
  </conditionalFormatting>
  <pageMargins left="0.51041666666666663" right="0.25" top="0.75" bottom="0.75" header="0.3" footer="0.3"/>
  <pageSetup paperSize="8" scale="70"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zoomScale="70" zoomScaleNormal="70" workbookViewId="0">
      <selection activeCell="N11" sqref="N11"/>
    </sheetView>
  </sheetViews>
  <sheetFormatPr defaultColWidth="9.140625" defaultRowHeight="11.25" x14ac:dyDescent="0.2"/>
  <cols>
    <col min="1" max="1" width="3.140625" style="333" customWidth="1"/>
    <col min="2" max="2" width="8.5703125" style="333" customWidth="1"/>
    <col min="3" max="3" width="10.5703125" style="333" customWidth="1"/>
    <col min="4" max="4" width="10" style="333" customWidth="1"/>
    <col min="5" max="5" width="11.42578125" style="333" customWidth="1"/>
    <col min="6" max="6" width="81.85546875" style="333" customWidth="1"/>
    <col min="7" max="7" width="9" style="334" customWidth="1"/>
    <col min="8" max="8" width="13" style="334" customWidth="1"/>
    <col min="9" max="9" width="10.85546875" style="334" customWidth="1"/>
    <col min="10" max="10" width="10.140625" style="334" customWidth="1"/>
    <col min="11" max="11" width="12.85546875" style="334" customWidth="1"/>
    <col min="12" max="12" width="19" style="334" customWidth="1"/>
    <col min="13" max="14" width="28.28515625" style="333" customWidth="1"/>
    <col min="15" max="15" width="9.140625" style="333" customWidth="1"/>
    <col min="16" max="16384" width="9.140625" style="333"/>
  </cols>
  <sheetData>
    <row r="1" spans="1:15" s="255" customFormat="1" ht="30.75" customHeight="1" thickTop="1" thickBot="1" x14ac:dyDescent="0.3">
      <c r="B1" s="425" t="s">
        <v>151</v>
      </c>
      <c r="C1" s="426"/>
      <c r="D1" s="426"/>
      <c r="E1" s="256"/>
      <c r="F1" s="256" t="s">
        <v>152</v>
      </c>
      <c r="G1" s="256"/>
      <c r="H1" s="257"/>
      <c r="I1" s="258"/>
      <c r="J1" s="259"/>
      <c r="K1" s="259"/>
      <c r="L1" s="260" t="s">
        <v>153</v>
      </c>
      <c r="M1" s="261"/>
    </row>
    <row r="2" spans="1:15" s="255" customFormat="1" ht="57" customHeight="1" thickTop="1" thickBot="1" x14ac:dyDescent="0.3">
      <c r="B2" s="427" t="s">
        <v>154</v>
      </c>
      <c r="C2" s="428"/>
      <c r="D2" s="262"/>
      <c r="E2" s="263"/>
      <c r="F2" s="264" t="s">
        <v>226</v>
      </c>
      <c r="G2" s="265"/>
      <c r="H2" s="266"/>
      <c r="I2" s="429" t="s">
        <v>156</v>
      </c>
      <c r="J2" s="430"/>
      <c r="K2" s="431">
        <f>SUM(L26+L36)</f>
        <v>0</v>
      </c>
      <c r="L2" s="432"/>
    </row>
    <row r="3" spans="1:15" s="255" customFormat="1" ht="42.75" customHeight="1" thickTop="1" thickBot="1" x14ac:dyDescent="0.3">
      <c r="B3" s="267" t="s">
        <v>157</v>
      </c>
      <c r="C3" s="268"/>
      <c r="D3" s="433" t="s">
        <v>153</v>
      </c>
      <c r="E3" s="433"/>
      <c r="F3" s="269" t="s">
        <v>87</v>
      </c>
      <c r="G3" s="270"/>
      <c r="H3" s="271"/>
      <c r="I3" s="272"/>
      <c r="J3" s="273"/>
      <c r="K3" s="434"/>
      <c r="L3" s="435"/>
    </row>
    <row r="4" spans="1:15" s="255" customFormat="1" ht="18" customHeight="1" thickTop="1" x14ac:dyDescent="0.25">
      <c r="B4" s="416" t="s">
        <v>158</v>
      </c>
      <c r="C4" s="410"/>
      <c r="D4" s="417"/>
      <c r="E4" s="274"/>
      <c r="F4" s="275" t="s">
        <v>83</v>
      </c>
      <c r="G4" s="276"/>
      <c r="H4" s="277"/>
      <c r="I4" s="418" t="s">
        <v>159</v>
      </c>
      <c r="J4" s="419"/>
      <c r="K4" s="278"/>
      <c r="L4" s="279"/>
    </row>
    <row r="5" spans="1:15" s="255" customFormat="1" ht="18" customHeight="1" x14ac:dyDescent="0.25">
      <c r="B5" s="280" t="s">
        <v>160</v>
      </c>
      <c r="C5" s="281"/>
      <c r="D5" s="281"/>
      <c r="E5" s="274" t="s">
        <v>146</v>
      </c>
      <c r="F5" s="420" t="s">
        <v>213</v>
      </c>
      <c r="G5" s="420"/>
      <c r="H5" s="421"/>
      <c r="I5" s="422" t="s">
        <v>143</v>
      </c>
      <c r="J5" s="417"/>
      <c r="K5" s="282"/>
      <c r="L5" s="283"/>
    </row>
    <row r="6" spans="1:15" s="255" customFormat="1" ht="18" customHeight="1" x14ac:dyDescent="0.2">
      <c r="B6" s="280" t="s">
        <v>145</v>
      </c>
      <c r="C6" s="281"/>
      <c r="D6" s="281"/>
      <c r="E6" s="282" t="s">
        <v>212</v>
      </c>
      <c r="F6" s="423"/>
      <c r="G6" s="423"/>
      <c r="H6" s="424"/>
      <c r="I6" s="422" t="s">
        <v>144</v>
      </c>
      <c r="J6" s="417"/>
      <c r="K6" s="282"/>
      <c r="L6" s="283"/>
      <c r="O6" s="284"/>
    </row>
    <row r="7" spans="1:15" s="255" customFormat="1" ht="18" customHeight="1" x14ac:dyDescent="0.2">
      <c r="B7" s="404" t="s">
        <v>161</v>
      </c>
      <c r="C7" s="405"/>
      <c r="D7" s="405"/>
      <c r="E7" s="285">
        <v>44501</v>
      </c>
      <c r="F7" s="406" t="s">
        <v>162</v>
      </c>
      <c r="G7" s="407"/>
      <c r="H7" s="408"/>
      <c r="I7" s="409" t="s">
        <v>163</v>
      </c>
      <c r="J7" s="410"/>
      <c r="K7" s="286">
        <v>2020</v>
      </c>
      <c r="L7" s="287"/>
      <c r="O7" s="288"/>
    </row>
    <row r="8" spans="1:15" s="255" customFormat="1" ht="19.5" customHeight="1" thickBot="1" x14ac:dyDescent="0.3">
      <c r="B8" s="411" t="s">
        <v>164</v>
      </c>
      <c r="C8" s="412"/>
      <c r="D8" s="412"/>
      <c r="E8" s="289">
        <v>44621</v>
      </c>
      <c r="F8" s="290" t="s">
        <v>165</v>
      </c>
      <c r="G8" s="413" t="s">
        <v>166</v>
      </c>
      <c r="H8" s="414"/>
      <c r="I8" s="415" t="s">
        <v>147</v>
      </c>
      <c r="J8" s="405"/>
      <c r="K8" s="291"/>
      <c r="L8" s="292"/>
    </row>
    <row r="9" spans="1:15" s="255" customFormat="1" ht="9.75" customHeight="1" x14ac:dyDescent="0.25">
      <c r="B9" s="396" t="s">
        <v>155</v>
      </c>
      <c r="C9" s="397"/>
      <c r="D9" s="397"/>
      <c r="E9" s="397"/>
      <c r="F9" s="397"/>
      <c r="G9" s="397"/>
      <c r="H9" s="397"/>
      <c r="I9" s="397"/>
      <c r="J9" s="397"/>
      <c r="K9" s="293" t="s">
        <v>143</v>
      </c>
      <c r="L9" s="294">
        <v>0</v>
      </c>
    </row>
    <row r="10" spans="1:15" s="255" customFormat="1" ht="15" customHeight="1" x14ac:dyDescent="0.25">
      <c r="B10" s="398" t="s">
        <v>167</v>
      </c>
      <c r="C10" s="400" t="s">
        <v>168</v>
      </c>
      <c r="D10" s="400" t="s">
        <v>169</v>
      </c>
      <c r="E10" s="400" t="s">
        <v>170</v>
      </c>
      <c r="F10" s="402" t="s">
        <v>171</v>
      </c>
      <c r="G10" s="402" t="s">
        <v>172</v>
      </c>
      <c r="H10" s="402" t="s">
        <v>173</v>
      </c>
      <c r="I10" s="400" t="s">
        <v>174</v>
      </c>
      <c r="J10" s="400" t="s">
        <v>175</v>
      </c>
      <c r="K10" s="394" t="s">
        <v>176</v>
      </c>
      <c r="L10" s="395"/>
    </row>
    <row r="11" spans="1:15" s="255" customFormat="1" ht="15" customHeight="1" x14ac:dyDescent="0.25">
      <c r="B11" s="398"/>
      <c r="C11" s="400"/>
      <c r="D11" s="400"/>
      <c r="E11" s="400"/>
      <c r="F11" s="402"/>
      <c r="G11" s="402"/>
      <c r="H11" s="402"/>
      <c r="I11" s="400"/>
      <c r="J11" s="400"/>
      <c r="K11" s="394"/>
      <c r="L11" s="395"/>
    </row>
    <row r="12" spans="1:15" s="255" customFormat="1" ht="12.75" customHeight="1" thickBot="1" x14ac:dyDescent="0.3">
      <c r="B12" s="399"/>
      <c r="C12" s="401"/>
      <c r="D12" s="401"/>
      <c r="E12" s="401"/>
      <c r="F12" s="403"/>
      <c r="G12" s="403"/>
      <c r="H12" s="403"/>
      <c r="I12" s="401"/>
      <c r="J12" s="401"/>
      <c r="K12" s="295" t="s">
        <v>177</v>
      </c>
      <c r="L12" s="296" t="s">
        <v>178</v>
      </c>
    </row>
    <row r="13" spans="1:15" s="303" customFormat="1" ht="15" customHeight="1" thickBot="1" x14ac:dyDescent="0.3">
      <c r="A13" s="297" t="s">
        <v>179</v>
      </c>
      <c r="B13" s="298" t="s">
        <v>180</v>
      </c>
      <c r="C13" s="299">
        <v>1</v>
      </c>
      <c r="D13" s="300"/>
      <c r="E13" s="300"/>
      <c r="F13" s="301" t="s">
        <v>181</v>
      </c>
      <c r="G13" s="299"/>
      <c r="H13" s="299"/>
      <c r="I13" s="299"/>
      <c r="J13" s="299"/>
      <c r="K13" s="299"/>
      <c r="L13" s="302"/>
    </row>
    <row r="14" spans="1:15" s="303" customFormat="1" ht="13.5" customHeight="1" thickBot="1" x14ac:dyDescent="0.3">
      <c r="A14" s="304" t="s">
        <v>182</v>
      </c>
      <c r="B14" s="305">
        <f>1+MAX($B$13:B13)</f>
        <v>1</v>
      </c>
      <c r="C14" s="306" t="s">
        <v>183</v>
      </c>
      <c r="D14" s="307"/>
      <c r="E14" s="308" t="s">
        <v>184</v>
      </c>
      <c r="F14" s="309" t="s">
        <v>122</v>
      </c>
      <c r="G14" s="308" t="s">
        <v>185</v>
      </c>
      <c r="H14" s="310">
        <v>1</v>
      </c>
      <c r="I14" s="308"/>
      <c r="J14" s="311" t="str">
        <f>IF(I14=0,"",I14*H14)</f>
        <v/>
      </c>
      <c r="K14" s="312"/>
      <c r="L14" s="313">
        <f>ROUND((ROUND(H14,3))*(ROUND(K14,2)),2)</f>
        <v>0</v>
      </c>
    </row>
    <row r="15" spans="1:15" s="303" customFormat="1" ht="12.75" customHeight="1" x14ac:dyDescent="0.25">
      <c r="A15" s="304" t="s">
        <v>186</v>
      </c>
      <c r="B15" s="314"/>
      <c r="C15" s="315"/>
      <c r="D15" s="315"/>
      <c r="E15" s="315"/>
      <c r="F15" s="316" t="s">
        <v>187</v>
      </c>
      <c r="G15" s="317"/>
      <c r="H15" s="317"/>
      <c r="I15" s="317"/>
      <c r="J15" s="317"/>
      <c r="K15" s="317"/>
      <c r="L15" s="318"/>
    </row>
    <row r="16" spans="1:15" s="303" customFormat="1" ht="12.75" customHeight="1" x14ac:dyDescent="0.25">
      <c r="A16" s="304" t="s">
        <v>188</v>
      </c>
      <c r="B16" s="314"/>
      <c r="C16" s="315"/>
      <c r="D16" s="315"/>
      <c r="E16" s="315"/>
      <c r="F16" s="319" t="s">
        <v>189</v>
      </c>
      <c r="G16" s="317"/>
      <c r="H16" s="317"/>
      <c r="I16" s="317"/>
      <c r="J16" s="317"/>
      <c r="K16" s="317"/>
      <c r="L16" s="318"/>
    </row>
    <row r="17" spans="1:12" s="303" customFormat="1" ht="72" customHeight="1" thickBot="1" x14ac:dyDescent="0.3">
      <c r="A17" s="304" t="s">
        <v>190</v>
      </c>
      <c r="B17" s="320"/>
      <c r="C17" s="321"/>
      <c r="D17" s="321"/>
      <c r="E17" s="321"/>
      <c r="F17" s="322" t="s">
        <v>191</v>
      </c>
      <c r="G17" s="323"/>
      <c r="H17" s="323"/>
      <c r="I17" s="323"/>
      <c r="J17" s="323"/>
      <c r="K17" s="323"/>
      <c r="L17" s="324"/>
    </row>
    <row r="18" spans="1:12" s="303" customFormat="1" ht="13.5" customHeight="1" thickBot="1" x14ac:dyDescent="0.3">
      <c r="A18" s="304" t="s">
        <v>182</v>
      </c>
      <c r="B18" s="325">
        <f>1+MAX($B$13:B17)</f>
        <v>2</v>
      </c>
      <c r="C18" s="306" t="s">
        <v>192</v>
      </c>
      <c r="D18" s="307"/>
      <c r="E18" s="308" t="s">
        <v>184</v>
      </c>
      <c r="F18" s="309" t="s">
        <v>123</v>
      </c>
      <c r="G18" s="308" t="s">
        <v>185</v>
      </c>
      <c r="H18" s="310">
        <v>1</v>
      </c>
      <c r="I18" s="308"/>
      <c r="J18" s="311" t="str">
        <f>IF(I18=0,"",I18*H18)</f>
        <v/>
      </c>
      <c r="K18" s="312"/>
      <c r="L18" s="313">
        <f>ROUND((ROUND(H18,3))*(ROUND(K18,2)),2)</f>
        <v>0</v>
      </c>
    </row>
    <row r="19" spans="1:12" s="303" customFormat="1" ht="12.75" customHeight="1" x14ac:dyDescent="0.25">
      <c r="A19" s="304" t="s">
        <v>186</v>
      </c>
      <c r="B19" s="314"/>
      <c r="C19" s="315"/>
      <c r="D19" s="315"/>
      <c r="E19" s="315"/>
      <c r="F19" s="316" t="s">
        <v>193</v>
      </c>
      <c r="G19" s="317"/>
      <c r="H19" s="317"/>
      <c r="I19" s="317"/>
      <c r="J19" s="317"/>
      <c r="K19" s="317"/>
      <c r="L19" s="318"/>
    </row>
    <row r="20" spans="1:12" s="303" customFormat="1" ht="12.75" customHeight="1" x14ac:dyDescent="0.25">
      <c r="A20" s="304" t="s">
        <v>188</v>
      </c>
      <c r="B20" s="314"/>
      <c r="C20" s="315"/>
      <c r="D20" s="315"/>
      <c r="E20" s="315"/>
      <c r="F20" s="319" t="s">
        <v>189</v>
      </c>
      <c r="G20" s="317"/>
      <c r="H20" s="317"/>
      <c r="I20" s="317"/>
      <c r="J20" s="317"/>
      <c r="K20" s="317"/>
      <c r="L20" s="318"/>
    </row>
    <row r="21" spans="1:12" s="303" customFormat="1" ht="81" customHeight="1" thickBot="1" x14ac:dyDescent="0.3">
      <c r="A21" s="304" t="s">
        <v>190</v>
      </c>
      <c r="B21" s="320"/>
      <c r="C21" s="321"/>
      <c r="D21" s="321"/>
      <c r="E21" s="321"/>
      <c r="F21" s="322" t="s">
        <v>194</v>
      </c>
      <c r="G21" s="323"/>
      <c r="H21" s="323"/>
      <c r="I21" s="323"/>
      <c r="J21" s="323"/>
      <c r="K21" s="323"/>
      <c r="L21" s="324"/>
    </row>
    <row r="22" spans="1:12" s="303" customFormat="1" ht="13.5" customHeight="1" thickBot="1" x14ac:dyDescent="0.3">
      <c r="A22" s="304" t="s">
        <v>182</v>
      </c>
      <c r="B22" s="325">
        <f>1+MAX($B$13:B21)</f>
        <v>3</v>
      </c>
      <c r="C22" s="306" t="s">
        <v>195</v>
      </c>
      <c r="D22" s="307"/>
      <c r="E22" s="308" t="s">
        <v>184</v>
      </c>
      <c r="F22" s="309" t="s">
        <v>124</v>
      </c>
      <c r="G22" s="308" t="s">
        <v>185</v>
      </c>
      <c r="H22" s="310">
        <v>1</v>
      </c>
      <c r="I22" s="308"/>
      <c r="J22" s="311" t="str">
        <f>IF(I22=0,"",I22*H22)</f>
        <v/>
      </c>
      <c r="K22" s="312"/>
      <c r="L22" s="313">
        <f>ROUND((ROUND(H22,3))*(ROUND(K22,2)),2)</f>
        <v>0</v>
      </c>
    </row>
    <row r="23" spans="1:12" s="303" customFormat="1" ht="12.75" customHeight="1" x14ac:dyDescent="0.25">
      <c r="A23" s="304" t="s">
        <v>186</v>
      </c>
      <c r="B23" s="314"/>
      <c r="C23" s="315"/>
      <c r="D23" s="315"/>
      <c r="E23" s="315"/>
      <c r="F23" s="316" t="s">
        <v>196</v>
      </c>
      <c r="G23" s="317"/>
      <c r="H23" s="317"/>
      <c r="I23" s="317"/>
      <c r="J23" s="317"/>
      <c r="K23" s="317"/>
      <c r="L23" s="318"/>
    </row>
    <row r="24" spans="1:12" s="303" customFormat="1" ht="12.75" customHeight="1" x14ac:dyDescent="0.25">
      <c r="A24" s="304" t="s">
        <v>188</v>
      </c>
      <c r="B24" s="314"/>
      <c r="C24" s="315"/>
      <c r="D24" s="315"/>
      <c r="E24" s="315"/>
      <c r="F24" s="319" t="s">
        <v>189</v>
      </c>
      <c r="G24" s="317"/>
      <c r="H24" s="317"/>
      <c r="I24" s="317"/>
      <c r="J24" s="317"/>
      <c r="K24" s="317"/>
      <c r="L24" s="318"/>
    </row>
    <row r="25" spans="1:12" s="303" customFormat="1" ht="42.75" customHeight="1" thickBot="1" x14ac:dyDescent="0.3">
      <c r="A25" s="304" t="s">
        <v>190</v>
      </c>
      <c r="B25" s="320"/>
      <c r="C25" s="321"/>
      <c r="D25" s="321"/>
      <c r="E25" s="321"/>
      <c r="F25" s="322" t="s">
        <v>197</v>
      </c>
      <c r="G25" s="323"/>
      <c r="H25" s="323"/>
      <c r="I25" s="323"/>
      <c r="J25" s="323"/>
      <c r="K25" s="323"/>
      <c r="L25" s="324"/>
    </row>
    <row r="26" spans="1:12" ht="13.5" thickBot="1" x14ac:dyDescent="0.25">
      <c r="A26" s="327" t="s">
        <v>198</v>
      </c>
      <c r="B26" s="328" t="s">
        <v>199</v>
      </c>
      <c r="C26" s="329" t="s">
        <v>200</v>
      </c>
      <c r="D26" s="330"/>
      <c r="E26" s="330"/>
      <c r="F26" s="331" t="s">
        <v>181</v>
      </c>
      <c r="G26" s="329"/>
      <c r="H26" s="329"/>
      <c r="I26" s="329"/>
      <c r="J26" s="329"/>
      <c r="K26" s="329"/>
      <c r="L26" s="332">
        <f>SUM(L14:L25)</f>
        <v>0</v>
      </c>
    </row>
    <row r="27" spans="1:12" ht="13.5" thickBot="1" x14ac:dyDescent="0.25">
      <c r="A27" s="297" t="s">
        <v>179</v>
      </c>
      <c r="B27" s="298" t="s">
        <v>180</v>
      </c>
      <c r="C27" s="299">
        <v>2</v>
      </c>
      <c r="D27" s="300"/>
      <c r="E27" s="300"/>
      <c r="F27" s="301" t="s">
        <v>201</v>
      </c>
      <c r="G27" s="299"/>
      <c r="H27" s="299"/>
      <c r="I27" s="299"/>
      <c r="J27" s="299"/>
      <c r="K27" s="299"/>
      <c r="L27" s="302"/>
    </row>
    <row r="28" spans="1:12" s="303" customFormat="1" ht="13.5" customHeight="1" thickBot="1" x14ac:dyDescent="0.3">
      <c r="A28" s="304" t="s">
        <v>182</v>
      </c>
      <c r="B28" s="325">
        <f>1+MAX($B$13:B27)</f>
        <v>4</v>
      </c>
      <c r="C28" s="306"/>
      <c r="D28" s="307"/>
      <c r="E28" s="308" t="s">
        <v>184</v>
      </c>
      <c r="F28" s="309" t="s">
        <v>126</v>
      </c>
      <c r="G28" s="308" t="s">
        <v>185</v>
      </c>
      <c r="H28" s="310">
        <v>1</v>
      </c>
      <c r="I28" s="308"/>
      <c r="J28" s="311" t="str">
        <f>IF(I28=0,"",I28*H28)</f>
        <v/>
      </c>
      <c r="K28" s="312"/>
      <c r="L28" s="326">
        <f>ROUND((ROUND(H28,3))*(ROUND(K28,2)),2)</f>
        <v>0</v>
      </c>
    </row>
    <row r="29" spans="1:12" s="303" customFormat="1" ht="12.75" customHeight="1" x14ac:dyDescent="0.25">
      <c r="A29" s="304" t="s">
        <v>186</v>
      </c>
      <c r="B29" s="314"/>
      <c r="C29" s="315"/>
      <c r="D29" s="315"/>
      <c r="E29" s="315"/>
      <c r="F29" s="316" t="s">
        <v>202</v>
      </c>
      <c r="G29" s="317"/>
      <c r="H29" s="317"/>
      <c r="I29" s="317"/>
      <c r="J29" s="317"/>
      <c r="K29" s="317"/>
      <c r="L29" s="318"/>
    </row>
    <row r="30" spans="1:12" s="303" customFormat="1" ht="12.75" customHeight="1" x14ac:dyDescent="0.25">
      <c r="A30" s="304" t="s">
        <v>188</v>
      </c>
      <c r="B30" s="314"/>
      <c r="C30" s="315"/>
      <c r="D30" s="315"/>
      <c r="E30" s="315"/>
      <c r="F30" s="319" t="s">
        <v>189</v>
      </c>
      <c r="G30" s="317"/>
      <c r="H30" s="317"/>
      <c r="I30" s="317"/>
      <c r="J30" s="317"/>
      <c r="K30" s="317"/>
      <c r="L30" s="318"/>
    </row>
    <row r="31" spans="1:12" s="303" customFormat="1" ht="75" customHeight="1" thickBot="1" x14ac:dyDescent="0.3">
      <c r="A31" s="304" t="s">
        <v>190</v>
      </c>
      <c r="B31" s="320"/>
      <c r="C31" s="321"/>
      <c r="D31" s="321"/>
      <c r="E31" s="321"/>
      <c r="F31" s="322" t="s">
        <v>203</v>
      </c>
      <c r="G31" s="323"/>
      <c r="H31" s="323"/>
      <c r="I31" s="323"/>
      <c r="J31" s="323"/>
      <c r="K31" s="323"/>
      <c r="L31" s="324"/>
    </row>
    <row r="32" spans="1:12" s="303" customFormat="1" ht="13.5" customHeight="1" thickBot="1" x14ac:dyDescent="0.3">
      <c r="A32" s="304" t="s">
        <v>182</v>
      </c>
      <c r="B32" s="325">
        <f>1+MAX($B$13:B31)</f>
        <v>5</v>
      </c>
      <c r="C32" s="306"/>
      <c r="D32" s="307"/>
      <c r="E32" s="308" t="s">
        <v>184</v>
      </c>
      <c r="F32" s="309" t="s">
        <v>50</v>
      </c>
      <c r="G32" s="308" t="s">
        <v>185</v>
      </c>
      <c r="H32" s="310">
        <v>1</v>
      </c>
      <c r="I32" s="308"/>
      <c r="J32" s="311" t="str">
        <f>IF(I32=0,"",I32*H32)</f>
        <v/>
      </c>
      <c r="K32" s="312"/>
      <c r="L32" s="326">
        <f>ROUND((ROUND(H32,3))*(ROUND(K32,2)),2)</f>
        <v>0</v>
      </c>
    </row>
    <row r="33" spans="1:12" s="303" customFormat="1" ht="12.75" customHeight="1" x14ac:dyDescent="0.25">
      <c r="A33" s="304" t="s">
        <v>186</v>
      </c>
      <c r="B33" s="314"/>
      <c r="C33" s="315"/>
      <c r="D33" s="315"/>
      <c r="E33" s="315"/>
      <c r="F33" s="316" t="s">
        <v>204</v>
      </c>
      <c r="G33" s="317"/>
      <c r="H33" s="317"/>
      <c r="I33" s="317"/>
      <c r="J33" s="317"/>
      <c r="K33" s="317"/>
      <c r="L33" s="318"/>
    </row>
    <row r="34" spans="1:12" s="303" customFormat="1" ht="12.75" customHeight="1" x14ac:dyDescent="0.25">
      <c r="A34" s="304" t="s">
        <v>188</v>
      </c>
      <c r="B34" s="314"/>
      <c r="C34" s="315"/>
      <c r="D34" s="315"/>
      <c r="E34" s="315"/>
      <c r="F34" s="319" t="s">
        <v>189</v>
      </c>
      <c r="G34" s="317"/>
      <c r="H34" s="317"/>
      <c r="I34" s="317"/>
      <c r="J34" s="317"/>
      <c r="K34" s="317"/>
      <c r="L34" s="318"/>
    </row>
    <row r="35" spans="1:12" s="303" customFormat="1" ht="60" customHeight="1" thickBot="1" x14ac:dyDescent="0.3">
      <c r="A35" s="304" t="s">
        <v>190</v>
      </c>
      <c r="B35" s="320"/>
      <c r="C35" s="321"/>
      <c r="D35" s="321"/>
      <c r="E35" s="321"/>
      <c r="F35" s="322" t="s">
        <v>205</v>
      </c>
      <c r="G35" s="323"/>
      <c r="H35" s="323"/>
      <c r="I35" s="323"/>
      <c r="J35" s="323"/>
      <c r="K35" s="323"/>
      <c r="L35" s="324"/>
    </row>
    <row r="36" spans="1:12" ht="13.5" thickBot="1" x14ac:dyDescent="0.25">
      <c r="A36" s="327" t="s">
        <v>198</v>
      </c>
      <c r="B36" s="328" t="s">
        <v>199</v>
      </c>
      <c r="C36" s="329" t="s">
        <v>200</v>
      </c>
      <c r="D36" s="330"/>
      <c r="E36" s="330"/>
      <c r="F36" s="331" t="s">
        <v>201</v>
      </c>
      <c r="G36" s="329"/>
      <c r="H36" s="329"/>
      <c r="I36" s="329"/>
      <c r="J36" s="329"/>
      <c r="K36" s="329"/>
      <c r="L36" s="332">
        <f>SUM(L28:L35)</f>
        <v>0</v>
      </c>
    </row>
  </sheetData>
  <sheetProtection password="ED72" sheet="1" objects="1" scenarios="1"/>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173" priority="99">
      <formula>$E$5="Ostatní"</formula>
    </cfRule>
    <cfRule type="expression" dxfId="172" priority="100">
      <formula>$E$6="Ostatní"</formula>
    </cfRule>
  </conditionalFormatting>
  <conditionalFormatting sqref="F2">
    <cfRule type="expression" dxfId="171" priority="98">
      <formula>IF($F$2="Název stavby","Vybarvit",IF($F$2="","Vybarvit",""))="Vybarvit"</formula>
    </cfRule>
  </conditionalFormatting>
  <conditionalFormatting sqref="D3">
    <cfRule type="expression" dxfId="170" priority="97">
      <formula>IF($D$3="SO XX-XX-XX","Vybarvit",IF($D$3="","Vybarvit",""))="Vybarvit"</formula>
    </cfRule>
  </conditionalFormatting>
  <conditionalFormatting sqref="F3">
    <cfRule type="expression" dxfId="169" priority="96">
      <formula>IF($F$3="Název SO/PS","Vybarvit",IF($F$3="","Vybarvit",""))="Vybarvit"</formula>
    </cfRule>
  </conditionalFormatting>
  <conditionalFormatting sqref="F8">
    <cfRule type="expression" dxfId="168" priority="95">
      <formula>IF($F$8="Obchodní název firmy/společnosti, v případě fyzické osoby podnikající  IČO","Vybarvit",IF($F$8="","Vybarvit",""))="Vybarvit"</formula>
    </cfRule>
  </conditionalFormatting>
  <conditionalFormatting sqref="G8:H8">
    <cfRule type="expression" dxfId="167" priority="94">
      <formula>IF($G$8="Titul Jméno Příjmení","Vybarvit",IF($G$8="","Vybarvit",""))="Vybarvit"</formula>
    </cfRule>
  </conditionalFormatting>
  <conditionalFormatting sqref="K8">
    <cfRule type="expression" dxfId="166" priority="93">
      <formula>$K$8=""</formula>
    </cfRule>
  </conditionalFormatting>
  <conditionalFormatting sqref="K7">
    <cfRule type="expression" dxfId="165" priority="92">
      <formula>$K$7=""</formula>
    </cfRule>
  </conditionalFormatting>
  <conditionalFormatting sqref="K6">
    <cfRule type="expression" dxfId="164" priority="91">
      <formula>$K$6=""</formula>
    </cfRule>
  </conditionalFormatting>
  <conditionalFormatting sqref="K5">
    <cfRule type="expression" dxfId="163" priority="90">
      <formula>$K$5=""</formula>
    </cfRule>
  </conditionalFormatting>
  <conditionalFormatting sqref="K4">
    <cfRule type="expression" dxfId="162" priority="89">
      <formula>$K$4=""</formula>
    </cfRule>
  </conditionalFormatting>
  <conditionalFormatting sqref="L4">
    <cfRule type="expression" dxfId="161" priority="88">
      <formula>$L$4=""</formula>
    </cfRule>
  </conditionalFormatting>
  <conditionalFormatting sqref="E8">
    <cfRule type="expression" dxfId="160" priority="87">
      <formula>$E$8=""</formula>
    </cfRule>
  </conditionalFormatting>
  <conditionalFormatting sqref="E7">
    <cfRule type="expression" dxfId="159" priority="86">
      <formula>$E$7=""</formula>
    </cfRule>
  </conditionalFormatting>
  <conditionalFormatting sqref="E6">
    <cfRule type="expression" dxfId="158" priority="85">
      <formula>$E$6=""</formula>
    </cfRule>
  </conditionalFormatting>
  <conditionalFormatting sqref="E5">
    <cfRule type="expression" dxfId="157" priority="84">
      <formula>$E$5=""</formula>
    </cfRule>
  </conditionalFormatting>
  <conditionalFormatting sqref="E4">
    <cfRule type="expression" dxfId="156" priority="83">
      <formula>$E$4=""</formula>
    </cfRule>
  </conditionalFormatting>
  <conditionalFormatting sqref="C13">
    <cfRule type="expression" dxfId="155" priority="82">
      <formula>C13=""</formula>
    </cfRule>
  </conditionalFormatting>
  <conditionalFormatting sqref="F13">
    <cfRule type="expression" dxfId="154" priority="81">
      <formula>F13="Název dílu"</formula>
    </cfRule>
  </conditionalFormatting>
  <conditionalFormatting sqref="E14">
    <cfRule type="expression" dxfId="153" priority="79">
      <formula>E14=""</formula>
    </cfRule>
  </conditionalFormatting>
  <conditionalFormatting sqref="F15">
    <cfRule type="expression" dxfId="152" priority="77">
      <formula>F15=""</formula>
    </cfRule>
  </conditionalFormatting>
  <conditionalFormatting sqref="C22">
    <cfRule type="expression" dxfId="151" priority="56">
      <formula>C22=""</formula>
    </cfRule>
  </conditionalFormatting>
  <conditionalFormatting sqref="F16">
    <cfRule type="expression" dxfId="150" priority="76">
      <formula>F16=""</formula>
    </cfRule>
  </conditionalFormatting>
  <conditionalFormatting sqref="F17">
    <cfRule type="expression" dxfId="149" priority="75">
      <formula>F17=""</formula>
    </cfRule>
  </conditionalFormatting>
  <conditionalFormatting sqref="G14">
    <cfRule type="expression" dxfId="148" priority="74">
      <formula>G14=""</formula>
    </cfRule>
  </conditionalFormatting>
  <conditionalFormatting sqref="H14">
    <cfRule type="expression" dxfId="147" priority="73">
      <formula>H14=""</formula>
    </cfRule>
  </conditionalFormatting>
  <conditionalFormatting sqref="I14">
    <cfRule type="expression" dxfId="146" priority="72">
      <formula>I14=""</formula>
    </cfRule>
  </conditionalFormatting>
  <conditionalFormatting sqref="J14">
    <cfRule type="expression" dxfId="145" priority="71">
      <formula>J14=""</formula>
    </cfRule>
  </conditionalFormatting>
  <conditionalFormatting sqref="K14">
    <cfRule type="expression" dxfId="144" priority="70">
      <formula>K14=""</formula>
    </cfRule>
  </conditionalFormatting>
  <conditionalFormatting sqref="D14">
    <cfRule type="expression" dxfId="143" priority="69">
      <formula>D14=""</formula>
    </cfRule>
  </conditionalFormatting>
  <conditionalFormatting sqref="C18">
    <cfRule type="expression" dxfId="142" priority="68">
      <formula>C18=""</formula>
    </cfRule>
  </conditionalFormatting>
  <conditionalFormatting sqref="K22">
    <cfRule type="expression" dxfId="141" priority="46">
      <formula>K22=""</formula>
    </cfRule>
  </conditionalFormatting>
  <conditionalFormatting sqref="F18">
    <cfRule type="expression" dxfId="140" priority="66">
      <formula>F18=""</formula>
    </cfRule>
  </conditionalFormatting>
  <conditionalFormatting sqref="G22">
    <cfRule type="expression" dxfId="139" priority="50">
      <formula>G22=""</formula>
    </cfRule>
  </conditionalFormatting>
  <conditionalFormatting sqref="F14">
    <cfRule type="expression" dxfId="138" priority="78">
      <formula>F14=""</formula>
    </cfRule>
  </conditionalFormatting>
  <conditionalFormatting sqref="H22">
    <cfRule type="expression" dxfId="137" priority="49">
      <formula>H22=""</formula>
    </cfRule>
  </conditionalFormatting>
  <conditionalFormatting sqref="I22">
    <cfRule type="expression" dxfId="136" priority="48">
      <formula>I22=""</formula>
    </cfRule>
  </conditionalFormatting>
  <conditionalFormatting sqref="J22">
    <cfRule type="expression" dxfId="135" priority="47">
      <formula>J22=""</formula>
    </cfRule>
  </conditionalFormatting>
  <conditionalFormatting sqref="D22">
    <cfRule type="expression" dxfId="134" priority="45">
      <formula>D22=""</formula>
    </cfRule>
  </conditionalFormatting>
  <conditionalFormatting sqref="C14">
    <cfRule type="expression" dxfId="133" priority="80">
      <formula>C14=""</formula>
    </cfRule>
  </conditionalFormatting>
  <conditionalFormatting sqref="F24">
    <cfRule type="expression" dxfId="132" priority="52">
      <formula>F24=""</formula>
    </cfRule>
  </conditionalFormatting>
  <conditionalFormatting sqref="F25">
    <cfRule type="expression" dxfId="131" priority="51">
      <formula>F25=""</formula>
    </cfRule>
  </conditionalFormatting>
  <conditionalFormatting sqref="C26">
    <cfRule type="expression" dxfId="130" priority="32">
      <formula>C26=""</formula>
    </cfRule>
  </conditionalFormatting>
  <conditionalFormatting sqref="E18">
    <cfRule type="expression" dxfId="129" priority="67">
      <formula>E18=""</formula>
    </cfRule>
  </conditionalFormatting>
  <conditionalFormatting sqref="F19">
    <cfRule type="expression" dxfId="128" priority="65">
      <formula>F19=""</formula>
    </cfRule>
  </conditionalFormatting>
  <conditionalFormatting sqref="F20">
    <cfRule type="expression" dxfId="127" priority="64">
      <formula>F20=""</formula>
    </cfRule>
  </conditionalFormatting>
  <conditionalFormatting sqref="F21">
    <cfRule type="expression" dxfId="126" priority="63">
      <formula>F21=""</formula>
    </cfRule>
  </conditionalFormatting>
  <conditionalFormatting sqref="G18">
    <cfRule type="expression" dxfId="125" priority="62">
      <formula>G18=""</formula>
    </cfRule>
  </conditionalFormatting>
  <conditionalFormatting sqref="H18">
    <cfRule type="expression" dxfId="124" priority="61">
      <formula>H18=""</formula>
    </cfRule>
  </conditionalFormatting>
  <conditionalFormatting sqref="I18">
    <cfRule type="expression" dxfId="123" priority="60">
      <formula>I18=""</formula>
    </cfRule>
  </conditionalFormatting>
  <conditionalFormatting sqref="J18">
    <cfRule type="expression" dxfId="122" priority="59">
      <formula>J18=""</formula>
    </cfRule>
  </conditionalFormatting>
  <conditionalFormatting sqref="K18">
    <cfRule type="expression" dxfId="121" priority="58">
      <formula>K18=""</formula>
    </cfRule>
  </conditionalFormatting>
  <conditionalFormatting sqref="D18">
    <cfRule type="expression" dxfId="120" priority="57">
      <formula>D18=""</formula>
    </cfRule>
  </conditionalFormatting>
  <conditionalFormatting sqref="E22">
    <cfRule type="expression" dxfId="119" priority="55">
      <formula>E22=""</formula>
    </cfRule>
  </conditionalFormatting>
  <conditionalFormatting sqref="F22">
    <cfRule type="expression" dxfId="118" priority="54">
      <formula>F22=""</formula>
    </cfRule>
  </conditionalFormatting>
  <conditionalFormatting sqref="F23">
    <cfRule type="expression" dxfId="117" priority="53">
      <formula>F23=""</formula>
    </cfRule>
  </conditionalFormatting>
  <conditionalFormatting sqref="C27">
    <cfRule type="expression" dxfId="116" priority="30">
      <formula>C27=""</formula>
    </cfRule>
  </conditionalFormatting>
  <conditionalFormatting sqref="F26">
    <cfRule type="expression" dxfId="115" priority="31">
      <formula>F26="Název dílu"</formula>
    </cfRule>
  </conditionalFormatting>
  <conditionalFormatting sqref="F27">
    <cfRule type="expression" dxfId="114" priority="29">
      <formula>F27="Název dílu"</formula>
    </cfRule>
  </conditionalFormatting>
  <conditionalFormatting sqref="F29 F33">
    <cfRule type="expression" dxfId="113" priority="26">
      <formula>F29=""</formula>
    </cfRule>
  </conditionalFormatting>
  <conditionalFormatting sqref="C32">
    <cfRule type="expression" dxfId="112" priority="15">
      <formula>C32=""</formula>
    </cfRule>
  </conditionalFormatting>
  <conditionalFormatting sqref="F31 F35">
    <cfRule type="expression" dxfId="111" priority="24">
      <formula>F31=""</formula>
    </cfRule>
  </conditionalFormatting>
  <conditionalFormatting sqref="H28 H32">
    <cfRule type="expression" dxfId="110" priority="22">
      <formula>H28=""</formula>
    </cfRule>
  </conditionalFormatting>
  <conditionalFormatting sqref="I28 I32">
    <cfRule type="expression" dxfId="109" priority="21">
      <formula>I28=""</formula>
    </cfRule>
  </conditionalFormatting>
  <conditionalFormatting sqref="E28 E32">
    <cfRule type="expression" dxfId="108" priority="17">
      <formula>E28=""</formula>
    </cfRule>
  </conditionalFormatting>
  <conditionalFormatting sqref="C28">
    <cfRule type="expression" dxfId="107" priority="16">
      <formula>C28=""</formula>
    </cfRule>
  </conditionalFormatting>
  <conditionalFormatting sqref="G28 G32">
    <cfRule type="expression" dxfId="106" priority="23">
      <formula>G28=""</formula>
    </cfRule>
  </conditionalFormatting>
  <conditionalFormatting sqref="J28 J32">
    <cfRule type="expression" dxfId="105" priority="20">
      <formula>J28=""</formula>
    </cfRule>
  </conditionalFormatting>
  <conditionalFormatting sqref="K28 K32">
    <cfRule type="expression" dxfId="104" priority="19">
      <formula>K28=""</formula>
    </cfRule>
  </conditionalFormatting>
  <conditionalFormatting sqref="D28 D32">
    <cfRule type="expression" dxfId="103" priority="18">
      <formula>D28=""</formula>
    </cfRule>
  </conditionalFormatting>
  <conditionalFormatting sqref="F30 F34">
    <cfRule type="expression" dxfId="102" priority="25">
      <formula>F30=""</formula>
    </cfRule>
  </conditionalFormatting>
  <conditionalFormatting sqref="F28 F32">
    <cfRule type="expression" dxfId="101" priority="27">
      <formula>F28=""</formula>
    </cfRule>
  </conditionalFormatting>
  <conditionalFormatting sqref="C36">
    <cfRule type="expression" dxfId="100" priority="2">
      <formula>C36=""</formula>
    </cfRule>
  </conditionalFormatting>
  <conditionalFormatting sqref="F36">
    <cfRule type="expression" dxfId="99" priority="1">
      <formula>F36="Název dílu"</formula>
    </cfRule>
  </conditionalFormatting>
  <dataValidations count="10">
    <dataValidation type="date" allowBlank="1" showInputMessage="1" showErrorMessage="1" error="Rozmezí let 2017 - 2050" promptTitle="Vložit rok" prompt="ve formátu:_x000a_rrrr" sqref="K7">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s>
  <pageMargins left="0.7" right="0.7" top="0.78740157499999996" bottom="0.78740157499999996" header="0.3" footer="0.3"/>
  <pageSetup paperSize="9" scale="58"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3"/>
  <sheetViews>
    <sheetView topLeftCell="A16" zoomScaleNormal="100" workbookViewId="0">
      <selection activeCell="R91" sqref="R91"/>
    </sheetView>
  </sheetViews>
  <sheetFormatPr defaultRowHeight="15" x14ac:dyDescent="0.25"/>
  <cols>
    <col min="1" max="1" width="31" style="111" customWidth="1"/>
    <col min="2" max="5" width="6.28515625" style="111" customWidth="1"/>
    <col min="6" max="6" width="22.28515625" style="111" customWidth="1"/>
    <col min="7" max="7" width="6.140625" style="111" customWidth="1"/>
    <col min="8" max="8" width="10.7109375" style="111" customWidth="1"/>
    <col min="9" max="18" width="11.85546875" style="111" customWidth="1"/>
    <col min="19" max="19" width="2.85546875" style="111" customWidth="1"/>
    <col min="20" max="20" width="25.28515625" style="111" customWidth="1"/>
    <col min="21" max="21" width="10.28515625" style="111" customWidth="1"/>
    <col min="22" max="22" width="13.42578125" style="111" customWidth="1"/>
    <col min="23" max="40" width="10.7109375" style="227" customWidth="1"/>
    <col min="41" max="41" width="9.140625" style="111" customWidth="1"/>
    <col min="42" max="16384" width="9.140625" style="111"/>
  </cols>
  <sheetData>
    <row r="1" spans="1:40" ht="28.5" customHeight="1" thickTop="1" thickBot="1" x14ac:dyDescent="0.35">
      <c r="A1" s="457" t="s">
        <v>9</v>
      </c>
      <c r="B1" s="458"/>
      <c r="C1" s="458"/>
      <c r="D1" s="458"/>
      <c r="E1" s="458"/>
      <c r="F1" s="112" t="e">
        <f>SUM(H4:H92)</f>
        <v>#REF!</v>
      </c>
      <c r="G1" s="447" t="s">
        <v>16</v>
      </c>
      <c r="H1" s="448"/>
      <c r="I1" s="448"/>
      <c r="J1" s="448"/>
      <c r="K1" s="448"/>
      <c r="L1" s="448"/>
      <c r="M1" s="448"/>
      <c r="N1" s="448"/>
      <c r="O1" s="448"/>
      <c r="P1" s="448"/>
      <c r="Q1" s="448"/>
      <c r="R1" s="448"/>
      <c r="S1" s="113" t="s">
        <v>37</v>
      </c>
      <c r="T1" s="114" t="s">
        <v>36</v>
      </c>
      <c r="U1" s="115">
        <v>9750</v>
      </c>
      <c r="V1" s="116" t="s">
        <v>38</v>
      </c>
      <c r="W1" s="463">
        <v>5000000</v>
      </c>
      <c r="X1" s="461"/>
      <c r="Y1" s="464"/>
      <c r="Z1" s="463">
        <v>10000000</v>
      </c>
      <c r="AA1" s="461"/>
      <c r="AB1" s="464"/>
      <c r="AC1" s="463">
        <v>15000000</v>
      </c>
      <c r="AD1" s="461"/>
      <c r="AE1" s="464"/>
      <c r="AF1" s="463">
        <v>20000000</v>
      </c>
      <c r="AG1" s="461"/>
      <c r="AH1" s="464"/>
      <c r="AI1" s="463">
        <v>25000000</v>
      </c>
      <c r="AJ1" s="461"/>
      <c r="AK1" s="464"/>
      <c r="AL1" s="461">
        <v>30000000</v>
      </c>
      <c r="AM1" s="461"/>
      <c r="AN1" s="462"/>
    </row>
    <row r="2" spans="1:40" ht="34.5" customHeight="1" thickTop="1" thickBot="1" x14ac:dyDescent="0.3">
      <c r="A2" s="459" t="s">
        <v>134</v>
      </c>
      <c r="B2" s="460"/>
      <c r="C2" s="460"/>
      <c r="D2" s="460"/>
      <c r="E2" s="460"/>
      <c r="F2" s="117" t="e">
        <f>SUM(G4:G92)</f>
        <v>#REF!</v>
      </c>
      <c r="G2" s="118" t="s">
        <v>27</v>
      </c>
      <c r="H2" s="119" t="s">
        <v>28</v>
      </c>
      <c r="I2" s="119" t="s">
        <v>29</v>
      </c>
      <c r="J2" s="119" t="s">
        <v>57</v>
      </c>
      <c r="K2" s="119" t="s">
        <v>63</v>
      </c>
      <c r="L2" s="119" t="s">
        <v>56</v>
      </c>
      <c r="M2" s="119" t="s">
        <v>30</v>
      </c>
      <c r="N2" s="119" t="s">
        <v>31</v>
      </c>
      <c r="O2" s="120" t="s">
        <v>32</v>
      </c>
      <c r="P2" s="121" t="s">
        <v>34</v>
      </c>
      <c r="Q2" s="122" t="s">
        <v>35</v>
      </c>
      <c r="R2" s="123" t="s">
        <v>69</v>
      </c>
      <c r="T2" s="124" t="s">
        <v>70</v>
      </c>
      <c r="V2" s="125" t="s">
        <v>55</v>
      </c>
      <c r="W2" s="126" t="s">
        <v>51</v>
      </c>
      <c r="X2" s="127" t="s">
        <v>52</v>
      </c>
      <c r="Y2" s="128" t="s">
        <v>58</v>
      </c>
      <c r="Z2" s="126" t="s">
        <v>51</v>
      </c>
      <c r="AA2" s="127" t="s">
        <v>52</v>
      </c>
      <c r="AB2" s="128" t="s">
        <v>58</v>
      </c>
      <c r="AC2" s="126" t="s">
        <v>51</v>
      </c>
      <c r="AD2" s="127" t="s">
        <v>52</v>
      </c>
      <c r="AE2" s="128" t="s">
        <v>58</v>
      </c>
      <c r="AF2" s="126" t="s">
        <v>51</v>
      </c>
      <c r="AG2" s="127" t="s">
        <v>52</v>
      </c>
      <c r="AH2" s="128" t="s">
        <v>58</v>
      </c>
      <c r="AI2" s="126" t="s">
        <v>51</v>
      </c>
      <c r="AJ2" s="127" t="s">
        <v>52</v>
      </c>
      <c r="AK2" s="128" t="s">
        <v>58</v>
      </c>
      <c r="AL2" s="129" t="s">
        <v>51</v>
      </c>
      <c r="AM2" s="127" t="s">
        <v>52</v>
      </c>
      <c r="AN2" s="130" t="s">
        <v>58</v>
      </c>
    </row>
    <row r="3" spans="1:40" ht="26.25" customHeight="1" thickTop="1" thickBot="1" x14ac:dyDescent="0.3">
      <c r="G3" s="449" t="s">
        <v>33</v>
      </c>
      <c r="H3" s="450"/>
      <c r="I3" s="131" t="e">
        <f>IF($P$4=0,0,IF($P$4="NE",0,IF(R4="ANO",0,(I6+I15+I24+I33+I42+I60+I69+I78)*T3)))</f>
        <v>#REF!</v>
      </c>
      <c r="J3" s="131" t="e">
        <f>IF($L$4="ANO",0,IF($R$4=0,0,IF($R$4="NE",0,IF(P$4="ANO",0,(J6+J15+J24+J33+J42+J60+J69+J78)*T3))))</f>
        <v>#REF!</v>
      </c>
      <c r="K3" s="131" t="e">
        <f>IF($R$4="ANO",0,IF($P$4="ANO",0,IF($N$4="NE",0,(K6+K15+K24+K33+K42+K60+K69+K78)*T3)))</f>
        <v>#REF!</v>
      </c>
      <c r="L3" s="131" t="e">
        <f>IF($K$3&gt;0,0,IF($R$4="ANO",0,(L6+L15+L24+L33+L42+L60+L69+L78)*T3))</f>
        <v>#REF!</v>
      </c>
      <c r="M3" s="131" t="e">
        <f>(M6+M15+M24+M33+M42+M60+M69+M78)*T3</f>
        <v>#REF!</v>
      </c>
      <c r="N3" s="131" t="e">
        <f>N6+N15+N24+N33+N42+N60+N69+N78</f>
        <v>#REF!</v>
      </c>
      <c r="O3" s="132" t="e">
        <f>O6+O15+O24+O33+O42+O60+O69+O78</f>
        <v>#REF!</v>
      </c>
      <c r="P3" s="133" t="e">
        <f>P6+P15+P24+P33+P42+P60+P69+P78</f>
        <v>#REF!</v>
      </c>
      <c r="Q3" s="131" t="e">
        <f>Q6+Q15+Q24+Q33+Q42+Q60+Q69+Q78</f>
        <v>#REF!</v>
      </c>
      <c r="R3" s="134" t="e">
        <f>R6+R15+R24+R33+R42+R60+R69+R78</f>
        <v>#REF!</v>
      </c>
      <c r="T3" s="135" t="e">
        <f>IF(F2=1,90%,IF(F2&lt;5,80%,IF(F2&lt;8,70%,100%)))</f>
        <v>#REF!</v>
      </c>
      <c r="V3" s="136" t="s">
        <v>29</v>
      </c>
      <c r="W3" s="137">
        <v>87750</v>
      </c>
      <c r="X3" s="138">
        <v>115700</v>
      </c>
      <c r="Y3" s="139">
        <v>154700</v>
      </c>
      <c r="Z3" s="137">
        <v>154050</v>
      </c>
      <c r="AA3" s="140">
        <v>200850</v>
      </c>
      <c r="AB3" s="139">
        <v>267150</v>
      </c>
      <c r="AC3" s="137">
        <v>213850</v>
      </c>
      <c r="AD3" s="140">
        <v>277550</v>
      </c>
      <c r="AE3" s="139">
        <v>367250</v>
      </c>
      <c r="AF3" s="137">
        <v>269750</v>
      </c>
      <c r="AG3" s="140">
        <v>349050</v>
      </c>
      <c r="AH3" s="139">
        <v>460200</v>
      </c>
      <c r="AI3" s="137">
        <v>323050</v>
      </c>
      <c r="AJ3" s="140">
        <v>417300</v>
      </c>
      <c r="AK3" s="139">
        <v>547950</v>
      </c>
      <c r="AL3" s="141">
        <v>374400</v>
      </c>
      <c r="AM3" s="140">
        <v>482300</v>
      </c>
      <c r="AN3" s="142">
        <v>632450</v>
      </c>
    </row>
    <row r="4" spans="1:40" ht="24" customHeight="1" thickTop="1" thickBot="1" x14ac:dyDescent="0.3">
      <c r="A4" s="143" t="s">
        <v>14</v>
      </c>
      <c r="B4" s="454" t="s">
        <v>7</v>
      </c>
      <c r="C4" s="455"/>
      <c r="D4" s="455"/>
      <c r="E4" s="455"/>
      <c r="F4" s="456"/>
      <c r="G4" s="144" t="s">
        <v>27</v>
      </c>
      <c r="H4" s="145" t="s">
        <v>28</v>
      </c>
      <c r="I4" s="146" t="s">
        <v>68</v>
      </c>
      <c r="J4" s="147" t="e">
        <f>'Náklady související'!C1</f>
        <v>#REF!</v>
      </c>
      <c r="K4" s="146" t="s">
        <v>67</v>
      </c>
      <c r="L4" s="147" t="e">
        <f>'Náklady související'!C5</f>
        <v>#REF!</v>
      </c>
      <c r="M4" s="146" t="s">
        <v>61</v>
      </c>
      <c r="N4" s="147" t="e">
        <f>'Náklady související'!C2</f>
        <v>#REF!</v>
      </c>
      <c r="O4" s="146" t="s">
        <v>29</v>
      </c>
      <c r="P4" s="147" t="e">
        <f>'Náklady související'!C3</f>
        <v>#REF!</v>
      </c>
      <c r="Q4" s="146" t="s">
        <v>57</v>
      </c>
      <c r="R4" s="147" t="e">
        <f>'Náklady související'!C4</f>
        <v>#REF!</v>
      </c>
      <c r="T4" s="148"/>
      <c r="V4" s="149" t="s">
        <v>57</v>
      </c>
      <c r="W4" s="150">
        <v>167050</v>
      </c>
      <c r="X4" s="151">
        <v>219700</v>
      </c>
      <c r="Y4" s="152">
        <v>294450</v>
      </c>
      <c r="Z4" s="150">
        <v>292500</v>
      </c>
      <c r="AA4" s="153">
        <v>382200</v>
      </c>
      <c r="AB4" s="152">
        <v>507650</v>
      </c>
      <c r="AC4" s="150">
        <v>406250</v>
      </c>
      <c r="AD4" s="153">
        <v>527800</v>
      </c>
      <c r="AE4" s="152">
        <v>697450</v>
      </c>
      <c r="AF4" s="150">
        <v>512200</v>
      </c>
      <c r="AG4" s="153">
        <v>663650</v>
      </c>
      <c r="AH4" s="152">
        <v>874250</v>
      </c>
      <c r="AI4" s="150">
        <v>614250</v>
      </c>
      <c r="AJ4" s="153">
        <v>793000</v>
      </c>
      <c r="AK4" s="152">
        <v>1041950</v>
      </c>
      <c r="AL4" s="154">
        <v>711750</v>
      </c>
      <c r="AM4" s="153">
        <v>916500</v>
      </c>
      <c r="AN4" s="155">
        <v>1201850</v>
      </c>
    </row>
    <row r="5" spans="1:40" ht="24" customHeight="1" thickTop="1" thickBot="1" x14ac:dyDescent="0.3">
      <c r="A5" s="444" t="s">
        <v>15</v>
      </c>
      <c r="B5" s="445"/>
      <c r="C5" s="445"/>
      <c r="D5" s="445"/>
      <c r="E5" s="446"/>
      <c r="F5" s="156" t="e">
        <f>IF(SUM(F7:F11)=0,"",SUM(F7:F11))</f>
        <v>#REF!</v>
      </c>
      <c r="G5" s="157" t="e">
        <f>IF(F5="",0,1)</f>
        <v>#REF!</v>
      </c>
      <c r="H5" s="158" t="e">
        <f>F5</f>
        <v>#REF!</v>
      </c>
      <c r="I5" s="159" t="s">
        <v>29</v>
      </c>
      <c r="J5" s="160" t="s">
        <v>57</v>
      </c>
      <c r="K5" s="161" t="s">
        <v>63</v>
      </c>
      <c r="L5" s="162" t="s">
        <v>56</v>
      </c>
      <c r="M5" s="163" t="s">
        <v>30</v>
      </c>
      <c r="N5" s="163" t="s">
        <v>31</v>
      </c>
      <c r="O5" s="164" t="s">
        <v>32</v>
      </c>
      <c r="P5" s="165" t="s">
        <v>34</v>
      </c>
      <c r="Q5" s="166" t="s">
        <v>35</v>
      </c>
      <c r="R5" s="167" t="s">
        <v>62</v>
      </c>
      <c r="V5" s="168" t="s">
        <v>60</v>
      </c>
      <c r="W5" s="169">
        <v>149500</v>
      </c>
      <c r="X5" s="170">
        <v>196950</v>
      </c>
      <c r="Y5" s="171">
        <v>263250</v>
      </c>
      <c r="Z5" s="169">
        <v>261300</v>
      </c>
      <c r="AA5" s="172">
        <v>341900</v>
      </c>
      <c r="AB5" s="171">
        <v>454350</v>
      </c>
      <c r="AC5" s="169">
        <v>363350</v>
      </c>
      <c r="AD5" s="172">
        <v>471900</v>
      </c>
      <c r="AE5" s="171">
        <v>624000</v>
      </c>
      <c r="AF5" s="169">
        <v>458250</v>
      </c>
      <c r="AG5" s="172">
        <v>593450</v>
      </c>
      <c r="AH5" s="171">
        <v>781950</v>
      </c>
      <c r="AI5" s="169">
        <v>549250</v>
      </c>
      <c r="AJ5" s="172">
        <v>709150</v>
      </c>
      <c r="AK5" s="171">
        <v>932100</v>
      </c>
      <c r="AL5" s="173">
        <v>636350</v>
      </c>
      <c r="AM5" s="172">
        <v>820300</v>
      </c>
      <c r="AN5" s="174">
        <v>1075100</v>
      </c>
    </row>
    <row r="6" spans="1:40" ht="27.75" customHeight="1" thickTop="1" thickBot="1" x14ac:dyDescent="0.3">
      <c r="A6" s="175" t="s">
        <v>10</v>
      </c>
      <c r="B6" s="436" t="s">
        <v>3</v>
      </c>
      <c r="C6" s="437"/>
      <c r="D6" s="437"/>
      <c r="E6" s="437"/>
      <c r="F6" s="176" t="s">
        <v>6</v>
      </c>
      <c r="G6" s="177"/>
      <c r="H6" s="178"/>
      <c r="I6" s="179" t="e">
        <f>IF(F5="",0,IF(F5&gt;$AI$1,$AL$13,IF(F5&gt;$AF$1,$AI$13,IF(F5&gt;$AC$1,$AF$13,IF(F5&gt;$Z$1,$AC$13,IF(F5&gt;$W$1,$Z$13,IF(F5=0,0,$W$13)))))))</f>
        <v>#REF!</v>
      </c>
      <c r="J6" s="179" t="e">
        <f>IF(F5="",0,IF(F5&gt;$AI$1,$AL$14,IF(F5&gt;$AF$1,$AI$14,IF(F5&gt;$AC$1,$AF$14,IF(F5&gt;$Z$1,$AC$14,IF(F5&gt;$W$1,$Z$14,IF(F5=0,0,$W$14)))))))</f>
        <v>#REF!</v>
      </c>
      <c r="K6" s="179" t="e">
        <f>IF(F5="",0,IF(F5&gt;$AI$1,$AL$15,IF(F5&gt;$AF$1,$AI$15,IF(F5&gt;$AC$1,$AF$15,IF(F5&gt;$Z$1,$AC$15,IF(F5&gt;$W$1,$Z$15,IF(F5=0,0,$W$15)))))))</f>
        <v>#REF!</v>
      </c>
      <c r="L6" s="180" t="e">
        <f>IF(F5="",0,IF(F5&gt;$AI$1,$AL$16,IF(F5&gt;$AF$1,$AI$16,IF(F5&gt;$AC$1,$AF$16,IF(F5&gt;$Z$1,$AC$16,IF(F5&gt;$W$1,$Z$16,IF(F5=0,0,$W$16)))))))</f>
        <v>#REF!</v>
      </c>
      <c r="M6" s="180" t="e">
        <f>IF(F5="",0,IF(F5&gt;$AI$1,$AL$17,IF(F5&gt;$AF$1,$AI$17,IF(F5&gt;$AC$1,$AF$17,IF(F5&gt;$Z$1,$AC$17,IF(F5&gt;$W$1,$Z$17,IF(F5=0,0,$W$17)))))))</f>
        <v>#REF!</v>
      </c>
      <c r="N6" s="180" t="e">
        <f>IF(F5="",0,IF(F5&gt;$AI$1,$AL$18,IF(F5&gt;$AF$1,$AI$18,IF(F5&gt;$AC$1,$AF$18,IF(F5&gt;$Z$1,$AC$18,IF(F5&gt;$W$1,$Z$18,IF(F5=0,0,$W$18)))))))</f>
        <v>#REF!</v>
      </c>
      <c r="O6" s="181" t="e">
        <f>IF(F5="",0,IF(F5&gt;$AI$1,$AL$20,IF(F5&gt;$AF$1,$AI$20,IF(F5&gt;$AC$1,$AF$20,IF(F5&gt;$Z$1,$AC$20,IF(F5&gt;$W$1,$Z$20,IF(F5=0,0,$W$20)))))))</f>
        <v>#REF!</v>
      </c>
      <c r="P6" s="182" t="e">
        <f>IF(SUM(F8:F11)&gt;1000000,H5*0.12%,0)</f>
        <v>#REF!</v>
      </c>
      <c r="Q6" s="180" t="e">
        <f>IF(SUM(F8:F11)&gt;1000000,H5*0.095%,0)</f>
        <v>#REF!</v>
      </c>
      <c r="R6" s="183" t="e">
        <f>IF(F9&gt;3000000,2*$U$1,IF(F9&gt;100000,$U$1,0))</f>
        <v>#REF!</v>
      </c>
      <c r="V6" s="184" t="s">
        <v>56</v>
      </c>
      <c r="W6" s="185">
        <v>114400</v>
      </c>
      <c r="X6" s="186">
        <v>150150</v>
      </c>
      <c r="Y6" s="187">
        <v>201500</v>
      </c>
      <c r="Z6" s="185">
        <v>200200</v>
      </c>
      <c r="AA6" s="188">
        <v>261300</v>
      </c>
      <c r="AB6" s="187">
        <v>347100</v>
      </c>
      <c r="AC6" s="185">
        <v>277550</v>
      </c>
      <c r="AD6" s="188">
        <v>360750</v>
      </c>
      <c r="AE6" s="187">
        <v>477100</v>
      </c>
      <c r="AF6" s="185">
        <v>350350</v>
      </c>
      <c r="AG6" s="188">
        <v>453700</v>
      </c>
      <c r="AH6" s="187">
        <v>598000</v>
      </c>
      <c r="AI6" s="185">
        <v>419900</v>
      </c>
      <c r="AJ6" s="188">
        <v>542100</v>
      </c>
      <c r="AK6" s="187">
        <v>712400</v>
      </c>
      <c r="AL6" s="189">
        <v>486850</v>
      </c>
      <c r="AM6" s="188">
        <v>627250</v>
      </c>
      <c r="AN6" s="190">
        <v>822250</v>
      </c>
    </row>
    <row r="7" spans="1:40" ht="24" customHeight="1" x14ac:dyDescent="0.25">
      <c r="A7" s="191" t="s">
        <v>73</v>
      </c>
      <c r="B7" s="192" t="s">
        <v>4</v>
      </c>
      <c r="C7" s="193" t="s">
        <v>8</v>
      </c>
      <c r="D7" s="194" t="s">
        <v>8</v>
      </c>
      <c r="E7" s="195" t="s">
        <v>18</v>
      </c>
      <c r="F7" s="196" t="e">
        <f>#REF!</f>
        <v>#REF!</v>
      </c>
      <c r="G7" s="197"/>
      <c r="H7" s="198"/>
      <c r="I7" s="199"/>
      <c r="J7" s="199"/>
      <c r="K7" s="199"/>
      <c r="L7" s="199"/>
      <c r="M7" s="199"/>
      <c r="N7" s="199"/>
      <c r="O7" s="199"/>
      <c r="P7" s="199"/>
      <c r="Q7" s="199"/>
      <c r="R7" s="199"/>
      <c r="T7" s="148"/>
      <c r="V7" s="200" t="s">
        <v>30</v>
      </c>
      <c r="W7" s="201">
        <f>122850+21450</f>
        <v>144300</v>
      </c>
      <c r="X7" s="202">
        <f>161850+28600</f>
        <v>190450</v>
      </c>
      <c r="Y7" s="203">
        <f>217100+38350</f>
        <v>255450</v>
      </c>
      <c r="Z7" s="201">
        <f>215150+38350</f>
        <v>253500</v>
      </c>
      <c r="AA7" s="204">
        <f>281450+50050</f>
        <v>331500</v>
      </c>
      <c r="AB7" s="203">
        <f>373750+66300</f>
        <v>440050</v>
      </c>
      <c r="AC7" s="201">
        <f>299000+53300</f>
        <v>352300</v>
      </c>
      <c r="AD7" s="204">
        <f>388700+68900</f>
        <v>457600</v>
      </c>
      <c r="AE7" s="203">
        <f>514150+91650</f>
        <v>605800</v>
      </c>
      <c r="AF7" s="201">
        <f>377650+66950</f>
        <v>444600</v>
      </c>
      <c r="AG7" s="204">
        <f>488800+87100</f>
        <v>575900</v>
      </c>
      <c r="AH7" s="203">
        <f>644150+115050</f>
        <v>759200</v>
      </c>
      <c r="AI7" s="201">
        <f>452400+80600</f>
        <v>533000</v>
      </c>
      <c r="AJ7" s="204">
        <f>584350+104000</f>
        <v>688350</v>
      </c>
      <c r="AK7" s="203">
        <f>767650+136500</f>
        <v>904150</v>
      </c>
      <c r="AL7" s="205">
        <f>523900+93600</f>
        <v>617500</v>
      </c>
      <c r="AM7" s="204">
        <f>675350+120250</f>
        <v>795600</v>
      </c>
      <c r="AN7" s="206">
        <f>885300+157950</f>
        <v>1043250</v>
      </c>
    </row>
    <row r="8" spans="1:40" ht="24" customHeight="1" x14ac:dyDescent="0.25">
      <c r="A8" s="191" t="s">
        <v>1</v>
      </c>
      <c r="B8" s="192" t="s">
        <v>5</v>
      </c>
      <c r="C8" s="193" t="s">
        <v>8</v>
      </c>
      <c r="D8" s="207" t="s">
        <v>11</v>
      </c>
      <c r="E8" s="208" t="s">
        <v>8</v>
      </c>
      <c r="F8" s="196" t="e">
        <f>#REF!</f>
        <v>#REF!</v>
      </c>
      <c r="G8" s="209"/>
      <c r="H8" s="210"/>
      <c r="I8" s="211"/>
      <c r="J8" s="211"/>
      <c r="K8" s="211"/>
      <c r="L8" s="211"/>
      <c r="M8" s="211"/>
      <c r="N8" s="211"/>
      <c r="O8" s="211"/>
      <c r="P8" s="211"/>
      <c r="Q8" s="211"/>
      <c r="R8" s="211"/>
      <c r="V8" s="200" t="s">
        <v>31</v>
      </c>
      <c r="W8" s="201">
        <v>52650</v>
      </c>
      <c r="X8" s="202">
        <v>69550</v>
      </c>
      <c r="Y8" s="203">
        <v>92950</v>
      </c>
      <c r="Z8" s="201">
        <v>92300</v>
      </c>
      <c r="AA8" s="204">
        <v>120250</v>
      </c>
      <c r="AB8" s="203">
        <v>159900</v>
      </c>
      <c r="AC8" s="201">
        <v>128050</v>
      </c>
      <c r="AD8" s="204">
        <v>166400</v>
      </c>
      <c r="AE8" s="203">
        <v>220350</v>
      </c>
      <c r="AF8" s="201">
        <v>161850</v>
      </c>
      <c r="AG8" s="204">
        <v>209300</v>
      </c>
      <c r="AH8" s="203">
        <v>275600</v>
      </c>
      <c r="AI8" s="201">
        <v>193700</v>
      </c>
      <c r="AJ8" s="204">
        <v>250250</v>
      </c>
      <c r="AK8" s="203">
        <v>328900</v>
      </c>
      <c r="AL8" s="205">
        <v>224250</v>
      </c>
      <c r="AM8" s="204">
        <v>289250</v>
      </c>
      <c r="AN8" s="206">
        <v>379600</v>
      </c>
    </row>
    <row r="9" spans="1:40" ht="24" customHeight="1" thickBot="1" x14ac:dyDescent="0.3">
      <c r="A9" s="191" t="s">
        <v>17</v>
      </c>
      <c r="B9" s="192" t="s">
        <v>5</v>
      </c>
      <c r="C9" s="193" t="s">
        <v>8</v>
      </c>
      <c r="D9" s="194" t="s">
        <v>12</v>
      </c>
      <c r="E9" s="208" t="s">
        <v>8</v>
      </c>
      <c r="F9" s="196" t="e">
        <f>#REF!</f>
        <v>#REF!</v>
      </c>
      <c r="G9" s="209"/>
      <c r="H9" s="210"/>
      <c r="I9" s="211"/>
      <c r="J9" s="211"/>
      <c r="K9" s="211"/>
      <c r="L9" s="211"/>
      <c r="M9" s="211"/>
      <c r="N9" s="211"/>
      <c r="O9" s="211"/>
      <c r="P9" s="211"/>
      <c r="Q9" s="211"/>
      <c r="R9" s="210"/>
      <c r="V9" s="212" t="s">
        <v>32</v>
      </c>
      <c r="W9" s="213">
        <v>13000</v>
      </c>
      <c r="X9" s="214">
        <v>16900</v>
      </c>
      <c r="Y9" s="215">
        <v>22750</v>
      </c>
      <c r="Z9" s="213">
        <v>22750</v>
      </c>
      <c r="AA9" s="216">
        <v>29900</v>
      </c>
      <c r="AB9" s="215">
        <v>39650</v>
      </c>
      <c r="AC9" s="213">
        <v>31850</v>
      </c>
      <c r="AD9" s="216">
        <v>41600</v>
      </c>
      <c r="AE9" s="215">
        <v>54600</v>
      </c>
      <c r="AF9" s="213">
        <v>40300</v>
      </c>
      <c r="AG9" s="216">
        <v>52000</v>
      </c>
      <c r="AH9" s="215">
        <v>68900</v>
      </c>
      <c r="AI9" s="213">
        <v>48100</v>
      </c>
      <c r="AJ9" s="216">
        <v>62400</v>
      </c>
      <c r="AK9" s="215">
        <v>81900</v>
      </c>
      <c r="AL9" s="217">
        <v>55900</v>
      </c>
      <c r="AM9" s="216">
        <v>72150</v>
      </c>
      <c r="AN9" s="218">
        <v>94900</v>
      </c>
    </row>
    <row r="10" spans="1:40" ht="24" customHeight="1" thickTop="1" x14ac:dyDescent="0.25">
      <c r="A10" s="350" t="s">
        <v>2</v>
      </c>
      <c r="B10" s="351" t="s">
        <v>5</v>
      </c>
      <c r="C10" s="352" t="s">
        <v>8</v>
      </c>
      <c r="D10" s="353" t="s">
        <v>13</v>
      </c>
      <c r="E10" s="354" t="s">
        <v>8</v>
      </c>
      <c r="F10" s="355" t="e">
        <f>#REF!</f>
        <v>#REF!</v>
      </c>
      <c r="G10" s="209"/>
      <c r="H10" s="210"/>
      <c r="I10" s="211"/>
      <c r="J10" s="211"/>
      <c r="K10" s="211"/>
      <c r="L10" s="211"/>
      <c r="M10" s="211"/>
      <c r="N10" s="211"/>
      <c r="O10" s="211"/>
      <c r="P10" s="211"/>
      <c r="Q10" s="211"/>
      <c r="R10" s="210"/>
      <c r="V10" s="356"/>
      <c r="W10" s="357"/>
      <c r="X10" s="357"/>
      <c r="Y10" s="357"/>
      <c r="Z10" s="357"/>
      <c r="AA10" s="357"/>
      <c r="AB10" s="357"/>
      <c r="AC10" s="357"/>
      <c r="AD10" s="357"/>
      <c r="AE10" s="357"/>
      <c r="AF10" s="357"/>
      <c r="AG10" s="357"/>
      <c r="AH10" s="357"/>
      <c r="AI10" s="357"/>
      <c r="AJ10" s="357"/>
      <c r="AK10" s="357"/>
      <c r="AL10" s="357"/>
      <c r="AM10" s="357"/>
      <c r="AN10" s="358"/>
    </row>
    <row r="11" spans="1:40" ht="24" customHeight="1" thickBot="1" x14ac:dyDescent="0.3">
      <c r="A11" s="219" t="s">
        <v>215</v>
      </c>
      <c r="B11" s="220" t="s">
        <v>5</v>
      </c>
      <c r="C11" s="221" t="s">
        <v>8</v>
      </c>
      <c r="D11" s="222" t="s">
        <v>214</v>
      </c>
      <c r="E11" s="223" t="s">
        <v>8</v>
      </c>
      <c r="F11" s="224" t="e">
        <f>#REF!</f>
        <v>#REF!</v>
      </c>
      <c r="G11" s="209"/>
      <c r="H11" s="210"/>
      <c r="I11" s="211"/>
      <c r="J11" s="211"/>
      <c r="K11" s="211"/>
      <c r="L11" s="211"/>
      <c r="M11" s="211"/>
      <c r="N11" s="211"/>
      <c r="O11" s="211"/>
      <c r="P11" s="211"/>
      <c r="Q11" s="211"/>
      <c r="R11" s="211"/>
      <c r="V11" s="225" t="s">
        <v>61</v>
      </c>
      <c r="W11" s="226" t="s">
        <v>65</v>
      </c>
      <c r="X11" s="226"/>
    </row>
    <row r="12" spans="1:40" ht="7.5" customHeight="1" thickBot="1" x14ac:dyDescent="0.3">
      <c r="I12" s="228"/>
      <c r="J12" s="228"/>
      <c r="K12" s="228"/>
      <c r="L12" s="228"/>
      <c r="M12" s="228"/>
      <c r="N12" s="228"/>
      <c r="O12" s="228"/>
      <c r="P12" s="228"/>
      <c r="Q12" s="228"/>
      <c r="R12" s="228"/>
      <c r="X12" s="226"/>
    </row>
    <row r="13" spans="1:40" ht="20.25" customHeight="1" thickTop="1" thickBot="1" x14ac:dyDescent="0.3">
      <c r="A13" s="143" t="s">
        <v>14</v>
      </c>
      <c r="B13" s="454" t="s">
        <v>7</v>
      </c>
      <c r="C13" s="455"/>
      <c r="D13" s="455"/>
      <c r="E13" s="455"/>
      <c r="F13" s="456"/>
      <c r="I13" s="228"/>
      <c r="J13" s="228"/>
      <c r="K13" s="228"/>
      <c r="L13" s="228"/>
      <c r="M13" s="228"/>
      <c r="N13" s="228"/>
      <c r="O13" s="228"/>
      <c r="P13" s="228"/>
      <c r="Q13" s="228"/>
      <c r="R13" s="228"/>
      <c r="V13" s="229" t="s">
        <v>29</v>
      </c>
      <c r="W13" s="230" t="e">
        <f t="shared" ref="W13:W18" si="0">IF($J$4="I",W3,IF($J$4="II",X3,IF($J$4="III",Y3,0)))</f>
        <v>#REF!</v>
      </c>
      <c r="X13" s="226"/>
      <c r="Z13" s="230" t="e">
        <f t="shared" ref="Z13:Z18" si="1">IF($J$4="I",Z3,IF($J$4="II",AA3,IF($J$4="III",AB3,0)))</f>
        <v>#REF!</v>
      </c>
      <c r="AC13" s="230" t="e">
        <f t="shared" ref="AC13:AC18" si="2">IF($J$4="I",AC3,IF($J$4="II",AD3,IF($J$4="III",AE3,0)))</f>
        <v>#REF!</v>
      </c>
      <c r="AF13" s="230" t="e">
        <f t="shared" ref="AF13:AF18" si="3">IF($J$4="I",AF3,IF($J$4="II",AG3,IF($J$4="III",AH3,0)))</f>
        <v>#REF!</v>
      </c>
      <c r="AI13" s="230" t="e">
        <f t="shared" ref="AI13:AI18" si="4">IF($J$4="I",AI3,IF($J$4="II",AJ3,IF($J$4="III",AK3,0)))</f>
        <v>#REF!</v>
      </c>
      <c r="AL13" s="230" t="e">
        <f t="shared" ref="AL13:AL18" si="5">IF($J$4="I",AL3,IF($J$4="II",AM3,IF($J$4="III",AN3,0)))</f>
        <v>#REF!</v>
      </c>
    </row>
    <row r="14" spans="1:40" ht="24" customHeight="1" thickTop="1" thickBot="1" x14ac:dyDescent="0.3">
      <c r="A14" s="444" t="s">
        <v>15</v>
      </c>
      <c r="B14" s="445"/>
      <c r="C14" s="445"/>
      <c r="D14" s="445"/>
      <c r="E14" s="446"/>
      <c r="F14" s="156" t="e">
        <f>IF(SUM(F16:F20)=0,"",SUM(F16:F20))</f>
        <v>#REF!</v>
      </c>
      <c r="G14" s="157" t="e">
        <f>IF(F14="",0,1)</f>
        <v>#REF!</v>
      </c>
      <c r="H14" s="231" t="e">
        <f>F14</f>
        <v>#REF!</v>
      </c>
      <c r="I14" s="232" t="s">
        <v>29</v>
      </c>
      <c r="J14" s="160" t="s">
        <v>57</v>
      </c>
      <c r="K14" s="161" t="s">
        <v>63</v>
      </c>
      <c r="L14" s="162" t="s">
        <v>56</v>
      </c>
      <c r="M14" s="163" t="s">
        <v>30</v>
      </c>
      <c r="N14" s="163" t="s">
        <v>31</v>
      </c>
      <c r="O14" s="164" t="s">
        <v>32</v>
      </c>
      <c r="P14" s="165" t="s">
        <v>34</v>
      </c>
      <c r="Q14" s="166" t="s">
        <v>35</v>
      </c>
      <c r="R14" s="167" t="s">
        <v>62</v>
      </c>
      <c r="V14" s="149" t="s">
        <v>57</v>
      </c>
      <c r="W14" s="233" t="e">
        <f t="shared" si="0"/>
        <v>#REF!</v>
      </c>
      <c r="X14" s="226"/>
      <c r="Z14" s="233" t="e">
        <f t="shared" si="1"/>
        <v>#REF!</v>
      </c>
      <c r="AC14" s="233" t="e">
        <f t="shared" si="2"/>
        <v>#REF!</v>
      </c>
      <c r="AF14" s="233" t="e">
        <f t="shared" si="3"/>
        <v>#REF!</v>
      </c>
      <c r="AI14" s="233" t="e">
        <f t="shared" si="4"/>
        <v>#REF!</v>
      </c>
      <c r="AL14" s="233" t="e">
        <f t="shared" si="5"/>
        <v>#REF!</v>
      </c>
    </row>
    <row r="15" spans="1:40" ht="27.75" customHeight="1" thickTop="1" thickBot="1" x14ac:dyDescent="0.3">
      <c r="A15" s="175" t="s">
        <v>10</v>
      </c>
      <c r="B15" s="436" t="s">
        <v>3</v>
      </c>
      <c r="C15" s="437"/>
      <c r="D15" s="437"/>
      <c r="E15" s="437"/>
      <c r="F15" s="176" t="s">
        <v>6</v>
      </c>
      <c r="G15" s="234"/>
      <c r="H15" s="235"/>
      <c r="I15" s="179" t="e">
        <f>IF(F14="",0,IF(F14&gt;$AI$1,$AL$13,IF(F14&gt;$AF$1,$AI$13,IF(F14&gt;$AC$1,$AF$13,IF(F14&gt;$Z$1,$AC$13,IF(F14&gt;$W$1,$Z$13,IF(F14=0,0,$W$13)))))))</f>
        <v>#REF!</v>
      </c>
      <c r="J15" s="179" t="e">
        <f>IF(F14="",0,IF(F14&gt;$AI$1,$AL$14,IF(F14&gt;$AF$1,$AI$14,IF(F14&gt;$AC$1,$AF$14,IF(F14&gt;$Z$1,$AC$14,IF(F14&gt;$W$1,$Z$14,IF(F14=0,0,$W$14)))))))</f>
        <v>#REF!</v>
      </c>
      <c r="K15" s="179" t="e">
        <f>IF(F14="",0,IF(F14&gt;$AI$1,$AL$15,IF(F14&gt;$AF$1,$AI$15,IF(F14&gt;$AC$1,$AF$15,IF(F14&gt;$Z$1,$AC$15,IF(F14&gt;$W$1,$Z$15,IF(F14=0,0,$W$15)))))))</f>
        <v>#REF!</v>
      </c>
      <c r="L15" s="180" t="e">
        <f>IF(F14="",0,IF(F14&gt;$AI$1,$AL$16,IF(F14&gt;$AF$1,$AI$16,IF(F14&gt;$AC$1,$AF$16,IF(F14&gt;$Z$1,$AC$16,IF(F14&gt;$W$1,$Z$16,IF(F14=0,0,$W$16)))))))</f>
        <v>#REF!</v>
      </c>
      <c r="M15" s="180" t="e">
        <f>IF(F14="",0,IF(F14&gt;$AI$1,$AL$17,IF(F14&gt;$AF$1,$AI$17,IF(F14&gt;$AC$1,$AF$17,IF(F14&gt;$Z$1,$AC$17,IF(F14&gt;$W$1,$Z$17,IF(F14=0,0,$W$17)))))))</f>
        <v>#REF!</v>
      </c>
      <c r="N15" s="180" t="e">
        <f>IF(F14="",0,IF(F14&gt;$AI$1,$AL$18,IF(F14&gt;$AF$1,$AI$18,IF(F14&gt;$AC$1,$AF$18,IF(F14&gt;$Z$1,$AC$18,IF(F14&gt;$W$1,$Z$18,IF(F14=0,0,$W$18)))))))</f>
        <v>#REF!</v>
      </c>
      <c r="O15" s="181" t="e">
        <f>IF(F14="",0,IF(F14&gt;$AI$1,$AL$20,IF(F14&gt;$AF$1,$AI$20,IF(F14&gt;$AC$1,$AF$20,IF(F14&gt;$Z$1,$AC$20,IF(F14&gt;$W$1,$Z$20,IF(F14=0,0,$W$20)))))))</f>
        <v>#REF!</v>
      </c>
      <c r="P15" s="182" t="e">
        <f>IF(SUM(F17:F20)&gt;1000000,H14*0.12%,0)</f>
        <v>#REF!</v>
      </c>
      <c r="Q15" s="180" t="e">
        <f>IF(SUM(F17:F20)&gt;1000000,H14*0.095%,0)</f>
        <v>#REF!</v>
      </c>
      <c r="R15" s="183" t="e">
        <f>IF(F18&gt;3000000,2*$U$1,IF(F18&gt;100000,$U$1,0))</f>
        <v>#REF!</v>
      </c>
      <c r="T15" s="148"/>
      <c r="V15" s="168" t="s">
        <v>60</v>
      </c>
      <c r="W15" s="236" t="e">
        <f t="shared" si="0"/>
        <v>#REF!</v>
      </c>
      <c r="X15" s="226"/>
      <c r="Z15" s="236" t="e">
        <f t="shared" si="1"/>
        <v>#REF!</v>
      </c>
      <c r="AC15" s="236" t="e">
        <f t="shared" si="2"/>
        <v>#REF!</v>
      </c>
      <c r="AF15" s="236" t="e">
        <f t="shared" si="3"/>
        <v>#REF!</v>
      </c>
      <c r="AI15" s="236" t="e">
        <f t="shared" si="4"/>
        <v>#REF!</v>
      </c>
      <c r="AL15" s="236" t="e">
        <f t="shared" si="5"/>
        <v>#REF!</v>
      </c>
    </row>
    <row r="16" spans="1:40" ht="24" customHeight="1" x14ac:dyDescent="0.25">
      <c r="A16" s="191" t="s">
        <v>73</v>
      </c>
      <c r="B16" s="192" t="s">
        <v>4</v>
      </c>
      <c r="C16" s="193" t="s">
        <v>19</v>
      </c>
      <c r="D16" s="194" t="s">
        <v>8</v>
      </c>
      <c r="E16" s="237" t="s">
        <v>18</v>
      </c>
      <c r="F16" s="196" t="e">
        <f>#REF!</f>
        <v>#REF!</v>
      </c>
      <c r="G16" s="197"/>
      <c r="H16" s="198"/>
      <c r="I16" s="199"/>
      <c r="J16" s="199"/>
      <c r="K16" s="199"/>
      <c r="L16" s="199"/>
      <c r="M16" s="199"/>
      <c r="N16" s="199"/>
      <c r="O16" s="199"/>
      <c r="P16" s="199"/>
      <c r="Q16" s="199"/>
      <c r="R16" s="199"/>
      <c r="V16" s="184" t="s">
        <v>56</v>
      </c>
      <c r="W16" s="238" t="e">
        <f t="shared" si="0"/>
        <v>#REF!</v>
      </c>
      <c r="Z16" s="238" t="e">
        <f t="shared" si="1"/>
        <v>#REF!</v>
      </c>
      <c r="AC16" s="238" t="e">
        <f t="shared" si="2"/>
        <v>#REF!</v>
      </c>
      <c r="AF16" s="238" t="e">
        <f t="shared" si="3"/>
        <v>#REF!</v>
      </c>
      <c r="AI16" s="238" t="e">
        <f t="shared" si="4"/>
        <v>#REF!</v>
      </c>
      <c r="AL16" s="238" t="e">
        <f t="shared" si="5"/>
        <v>#REF!</v>
      </c>
    </row>
    <row r="17" spans="1:38" ht="24" customHeight="1" x14ac:dyDescent="0.25">
      <c r="A17" s="191" t="s">
        <v>1</v>
      </c>
      <c r="B17" s="192" t="s">
        <v>5</v>
      </c>
      <c r="C17" s="193" t="s">
        <v>19</v>
      </c>
      <c r="D17" s="194" t="s">
        <v>11</v>
      </c>
      <c r="E17" s="208" t="s">
        <v>8</v>
      </c>
      <c r="F17" s="196" t="e">
        <f>#REF!</f>
        <v>#REF!</v>
      </c>
      <c r="I17" s="228"/>
      <c r="J17" s="228"/>
      <c r="K17" s="228"/>
      <c r="L17" s="228"/>
      <c r="M17" s="228"/>
      <c r="N17" s="228"/>
      <c r="O17" s="228"/>
      <c r="P17" s="228"/>
      <c r="Q17" s="228"/>
      <c r="R17" s="228"/>
      <c r="V17" s="200" t="s">
        <v>30</v>
      </c>
      <c r="W17" s="239" t="e">
        <f t="shared" si="0"/>
        <v>#REF!</v>
      </c>
      <c r="Z17" s="239" t="e">
        <f t="shared" si="1"/>
        <v>#REF!</v>
      </c>
      <c r="AC17" s="239" t="e">
        <f t="shared" si="2"/>
        <v>#REF!</v>
      </c>
      <c r="AF17" s="239" t="e">
        <f t="shared" si="3"/>
        <v>#REF!</v>
      </c>
      <c r="AI17" s="239" t="e">
        <f t="shared" si="4"/>
        <v>#REF!</v>
      </c>
      <c r="AL17" s="239" t="e">
        <f t="shared" si="5"/>
        <v>#REF!</v>
      </c>
    </row>
    <row r="18" spans="1:38" ht="24" customHeight="1" x14ac:dyDescent="0.25">
      <c r="A18" s="191" t="s">
        <v>17</v>
      </c>
      <c r="B18" s="192" t="s">
        <v>5</v>
      </c>
      <c r="C18" s="193" t="s">
        <v>19</v>
      </c>
      <c r="D18" s="194" t="s">
        <v>12</v>
      </c>
      <c r="E18" s="208" t="s">
        <v>8</v>
      </c>
      <c r="F18" s="196" t="e">
        <f>#REF!</f>
        <v>#REF!</v>
      </c>
      <c r="I18" s="228"/>
      <c r="J18" s="228"/>
      <c r="K18" s="228"/>
      <c r="L18" s="228"/>
      <c r="M18" s="228"/>
      <c r="N18" s="228"/>
      <c r="O18" s="228"/>
      <c r="P18" s="228"/>
      <c r="Q18" s="228"/>
      <c r="R18" s="228"/>
      <c r="V18" s="200" t="s">
        <v>31</v>
      </c>
      <c r="W18" s="239" t="e">
        <f t="shared" si="0"/>
        <v>#REF!</v>
      </c>
      <c r="Z18" s="239" t="e">
        <f t="shared" si="1"/>
        <v>#REF!</v>
      </c>
      <c r="AC18" s="239" t="e">
        <f t="shared" si="2"/>
        <v>#REF!</v>
      </c>
      <c r="AF18" s="239" t="e">
        <f t="shared" si="3"/>
        <v>#REF!</v>
      </c>
      <c r="AI18" s="239" t="e">
        <f t="shared" si="4"/>
        <v>#REF!</v>
      </c>
      <c r="AL18" s="239" t="e">
        <f t="shared" si="5"/>
        <v>#REF!</v>
      </c>
    </row>
    <row r="19" spans="1:38" ht="24" customHeight="1" x14ac:dyDescent="0.25">
      <c r="A19" s="350" t="s">
        <v>2</v>
      </c>
      <c r="B19" s="351" t="s">
        <v>5</v>
      </c>
      <c r="C19" s="352" t="s">
        <v>19</v>
      </c>
      <c r="D19" s="353" t="s">
        <v>13</v>
      </c>
      <c r="E19" s="354" t="s">
        <v>8</v>
      </c>
      <c r="F19" s="355" t="e">
        <f>#REF!</f>
        <v>#REF!</v>
      </c>
      <c r="I19" s="228"/>
      <c r="J19" s="228"/>
      <c r="K19" s="228"/>
      <c r="L19" s="228"/>
      <c r="M19" s="228"/>
      <c r="N19" s="228"/>
      <c r="O19" s="228"/>
      <c r="P19" s="228"/>
      <c r="Q19" s="228"/>
      <c r="R19" s="228"/>
      <c r="V19" s="359"/>
      <c r="W19" s="360"/>
      <c r="Z19" s="360"/>
      <c r="AC19" s="360"/>
      <c r="AF19" s="360"/>
      <c r="AI19" s="360"/>
      <c r="AL19" s="360"/>
    </row>
    <row r="20" spans="1:38" ht="24" customHeight="1" thickBot="1" x14ac:dyDescent="0.3">
      <c r="A20" s="219" t="s">
        <v>215</v>
      </c>
      <c r="B20" s="220" t="s">
        <v>5</v>
      </c>
      <c r="C20" s="221" t="s">
        <v>19</v>
      </c>
      <c r="D20" s="222" t="s">
        <v>214</v>
      </c>
      <c r="E20" s="223" t="s">
        <v>8</v>
      </c>
      <c r="F20" s="224" t="e">
        <f>#REF!</f>
        <v>#REF!</v>
      </c>
      <c r="I20" s="228"/>
      <c r="J20" s="228"/>
      <c r="K20" s="228"/>
      <c r="L20" s="228"/>
      <c r="M20" s="228"/>
      <c r="N20" s="228"/>
      <c r="O20" s="228"/>
      <c r="P20" s="228"/>
      <c r="Q20" s="228"/>
      <c r="R20" s="228"/>
      <c r="V20" s="212" t="s">
        <v>32</v>
      </c>
      <c r="W20" s="240" t="e">
        <f>IF($J$4="I",W9,IF($J$4="II",X9,IF($J$4="III",Y9,0)))</f>
        <v>#REF!</v>
      </c>
      <c r="Z20" s="240" t="e">
        <f>IF($J$4="I",Z9,IF($J$4="II",AA9,IF($J$4="III",AB9,0)))</f>
        <v>#REF!</v>
      </c>
      <c r="AC20" s="240" t="e">
        <f>IF($J$4="I",AC9,IF($J$4="II",AD9,IF($J$4="III",AE9,0)))</f>
        <v>#REF!</v>
      </c>
      <c r="AF20" s="240" t="e">
        <f>IF($J$4="I",AF9,IF($J$4="II",AG9,IF($J$4="III",AH9,0)))</f>
        <v>#REF!</v>
      </c>
      <c r="AI20" s="240" t="e">
        <f>IF($J$4="I",AI9,IF($J$4="II",AJ9,IF($J$4="III",AK9,0)))</f>
        <v>#REF!</v>
      </c>
      <c r="AL20" s="240" t="e">
        <f>IF($J$4="I",AL9,IF($J$4="II",AM9,IF($J$4="III",AN9,0)))</f>
        <v>#REF!</v>
      </c>
    </row>
    <row r="21" spans="1:38" ht="7.5" customHeight="1" thickBot="1" x14ac:dyDescent="0.3">
      <c r="I21" s="228"/>
      <c r="J21" s="228"/>
      <c r="K21" s="228"/>
      <c r="L21" s="228"/>
      <c r="M21" s="228"/>
      <c r="N21" s="228"/>
      <c r="O21" s="228"/>
      <c r="P21" s="228"/>
      <c r="Q21" s="228"/>
      <c r="R21" s="228"/>
    </row>
    <row r="22" spans="1:38" ht="20.25" customHeight="1" thickBot="1" x14ac:dyDescent="0.3">
      <c r="A22" s="143" t="s">
        <v>14</v>
      </c>
      <c r="B22" s="454" t="s">
        <v>7</v>
      </c>
      <c r="C22" s="455"/>
      <c r="D22" s="455"/>
      <c r="E22" s="455"/>
      <c r="F22" s="456"/>
      <c r="I22" s="228"/>
      <c r="J22" s="228"/>
      <c r="K22" s="228"/>
      <c r="L22" s="228"/>
      <c r="M22" s="228"/>
      <c r="N22" s="228"/>
      <c r="O22" s="228"/>
      <c r="P22" s="228"/>
      <c r="Q22" s="228"/>
      <c r="R22" s="228"/>
      <c r="V22" s="225" t="s">
        <v>51</v>
      </c>
      <c r="W22" s="226" t="s">
        <v>53</v>
      </c>
    </row>
    <row r="23" spans="1:38" ht="24" customHeight="1" thickTop="1" thickBot="1" x14ac:dyDescent="0.3">
      <c r="A23" s="444" t="s">
        <v>15</v>
      </c>
      <c r="B23" s="445"/>
      <c r="C23" s="445"/>
      <c r="D23" s="445"/>
      <c r="E23" s="446"/>
      <c r="F23" s="156" t="e">
        <f>IF(SUM(F25:F29)=0,"",SUM(F25:F29))</f>
        <v>#REF!</v>
      </c>
      <c r="G23" s="157" t="e">
        <f>IF(F23="",0,1)</f>
        <v>#REF!</v>
      </c>
      <c r="H23" s="231" t="e">
        <f>F23</f>
        <v>#REF!</v>
      </c>
      <c r="I23" s="232" t="s">
        <v>29</v>
      </c>
      <c r="J23" s="160" t="s">
        <v>57</v>
      </c>
      <c r="K23" s="161" t="s">
        <v>63</v>
      </c>
      <c r="L23" s="162" t="s">
        <v>56</v>
      </c>
      <c r="M23" s="163" t="s">
        <v>30</v>
      </c>
      <c r="N23" s="163" t="s">
        <v>31</v>
      </c>
      <c r="O23" s="164" t="s">
        <v>32</v>
      </c>
      <c r="P23" s="165" t="s">
        <v>34</v>
      </c>
      <c r="Q23" s="166" t="s">
        <v>35</v>
      </c>
      <c r="R23" s="167" t="s">
        <v>62</v>
      </c>
      <c r="V23" s="225" t="s">
        <v>52</v>
      </c>
      <c r="W23" s="226" t="s">
        <v>54</v>
      </c>
    </row>
    <row r="24" spans="1:38" ht="27.75" customHeight="1" thickTop="1" thickBot="1" x14ac:dyDescent="0.3">
      <c r="A24" s="175" t="s">
        <v>10</v>
      </c>
      <c r="B24" s="436" t="s">
        <v>3</v>
      </c>
      <c r="C24" s="437"/>
      <c r="D24" s="437"/>
      <c r="E24" s="437"/>
      <c r="F24" s="176" t="s">
        <v>6</v>
      </c>
      <c r="G24" s="234"/>
      <c r="H24" s="235"/>
      <c r="I24" s="179" t="e">
        <f>IF(F23="",0,IF(F23&gt;$AI$1,$AL$13,IF(F23&gt;$AF$1,$AI$13,IF(F23&gt;$AC$1,$AF$13,IF(F23&gt;$Z$1,$AC$13,IF(F23&gt;$W$1,$Z$13,IF(F23=0,0,$W$13)))))))</f>
        <v>#REF!</v>
      </c>
      <c r="J24" s="179" t="e">
        <f>IF(F23="",0,IF(F23&gt;$AI$1,$AL$14,IF(F23&gt;$AF$1,$AI$14,IF(F23&gt;$AC$1,$AF$14,IF(F23&gt;$Z$1,$AC$14,IF(F23&gt;$W$1,$Z$14,IF(F23=0,0,$W$14)))))))</f>
        <v>#REF!</v>
      </c>
      <c r="K24" s="179" t="e">
        <f>IF(F23="",0,IF(F23&gt;$AI$1,$AL$15,IF(F23&gt;$AF$1,$AI$15,IF(F23&gt;$AC$1,$AF$15,IF(F23&gt;$Z$1,$AC$15,IF(F23&gt;$W$1,$Z$15,IF(F23=0,0,$W$15)))))))</f>
        <v>#REF!</v>
      </c>
      <c r="L24" s="180" t="e">
        <f>IF(F23="",0,IF(F23&gt;$AI$1,$AL$16,IF(F23&gt;$AF$1,$AI$16,IF(F23&gt;$AC$1,$AF$16,IF(F23&gt;$Z$1,$AC$16,IF(F23&gt;$W$1,$Z$16,IF(F23=0,0,$W$16)))))))</f>
        <v>#REF!</v>
      </c>
      <c r="M24" s="180" t="e">
        <f>IF(F23="",0,IF(F23&gt;$AI$1,$AL$17,IF(F23&gt;$AF$1,$AI$17,IF(F23&gt;$AC$1,$AF$17,IF(F23&gt;$Z$1,$AC$17,IF(F23&gt;$W$1,$Z$17,IF(F23=0,0,$W$17)))))))</f>
        <v>#REF!</v>
      </c>
      <c r="N24" s="180" t="e">
        <f>IF(F23="",0,IF(F23&gt;$AI$1,$AL$18,IF(F23&gt;$AF$1,$AI$18,IF(F23&gt;$AC$1,$AF$18,IF(F23&gt;$Z$1,$AC$18,IF(F23&gt;$W$1,$Z$18,IF(F23=0,0,$W$18)))))))</f>
        <v>#REF!</v>
      </c>
      <c r="O24" s="181" t="e">
        <f>IF(F23="",0,IF(F23&gt;$AI$1,$AL$20,IF(F23&gt;$AF$1,$AI$20,IF(F23&gt;$AC$1,$AF$20,IF(F23&gt;$Z$1,$AC$20,IF(F23&gt;$W$1,$Z$20,IF(F23=0,0,$W$20)))))))</f>
        <v>#REF!</v>
      </c>
      <c r="P24" s="182" t="e">
        <f>IF(SUM(F26:F29)&gt;1000000,H23*0.12%,0)</f>
        <v>#REF!</v>
      </c>
      <c r="Q24" s="180" t="e">
        <f>IF(SUM(F26:F29)&gt;1000000,H23*0.095%,0)</f>
        <v>#REF!</v>
      </c>
      <c r="R24" s="183" t="e">
        <f>IF(F27&gt;3000000,2*$U$1,IF(F27&gt;100000,$U$1,0))</f>
        <v>#REF!</v>
      </c>
      <c r="V24" s="225" t="s">
        <v>58</v>
      </c>
      <c r="W24" s="226" t="s">
        <v>59</v>
      </c>
    </row>
    <row r="25" spans="1:38" ht="24" customHeight="1" x14ac:dyDescent="0.25">
      <c r="A25" s="191" t="s">
        <v>73</v>
      </c>
      <c r="B25" s="192" t="s">
        <v>4</v>
      </c>
      <c r="C25" s="193" t="s">
        <v>20</v>
      </c>
      <c r="D25" s="194" t="s">
        <v>8</v>
      </c>
      <c r="E25" s="237" t="s">
        <v>18</v>
      </c>
      <c r="F25" s="196" t="e">
        <f>#REF!</f>
        <v>#REF!</v>
      </c>
      <c r="G25" s="197"/>
      <c r="H25" s="198"/>
      <c r="I25" s="199"/>
      <c r="J25" s="199"/>
      <c r="K25" s="199"/>
      <c r="L25" s="199"/>
      <c r="M25" s="199"/>
      <c r="N25" s="199"/>
      <c r="O25" s="199"/>
      <c r="P25" s="199"/>
      <c r="Q25" s="199"/>
      <c r="R25" s="199"/>
    </row>
    <row r="26" spans="1:38" ht="24" customHeight="1" x14ac:dyDescent="0.25">
      <c r="A26" s="191" t="s">
        <v>1</v>
      </c>
      <c r="B26" s="192" t="s">
        <v>5</v>
      </c>
      <c r="C26" s="193" t="s">
        <v>20</v>
      </c>
      <c r="D26" s="194" t="s">
        <v>11</v>
      </c>
      <c r="E26" s="208" t="s">
        <v>8</v>
      </c>
      <c r="F26" s="196" t="e">
        <f>#REF!</f>
        <v>#REF!</v>
      </c>
      <c r="I26" s="228"/>
      <c r="J26" s="228"/>
      <c r="K26" s="228"/>
      <c r="L26" s="228"/>
      <c r="M26" s="228"/>
      <c r="N26" s="228"/>
      <c r="O26" s="228"/>
      <c r="P26" s="228"/>
      <c r="Q26" s="228"/>
      <c r="R26" s="228"/>
    </row>
    <row r="27" spans="1:38" ht="24" customHeight="1" x14ac:dyDescent="0.25">
      <c r="A27" s="191" t="s">
        <v>17</v>
      </c>
      <c r="B27" s="192" t="s">
        <v>5</v>
      </c>
      <c r="C27" s="193" t="s">
        <v>20</v>
      </c>
      <c r="D27" s="194" t="s">
        <v>12</v>
      </c>
      <c r="E27" s="208" t="s">
        <v>8</v>
      </c>
      <c r="F27" s="196" t="e">
        <f>#REF!</f>
        <v>#REF!</v>
      </c>
      <c r="I27" s="228"/>
      <c r="J27" s="228"/>
      <c r="K27" s="228"/>
      <c r="L27" s="228"/>
      <c r="M27" s="228"/>
      <c r="N27" s="228"/>
      <c r="O27" s="228"/>
      <c r="P27" s="228"/>
      <c r="Q27" s="228"/>
      <c r="R27" s="228"/>
    </row>
    <row r="28" spans="1:38" ht="24" customHeight="1" x14ac:dyDescent="0.25">
      <c r="A28" s="350" t="s">
        <v>2</v>
      </c>
      <c r="B28" s="351" t="s">
        <v>5</v>
      </c>
      <c r="C28" s="352" t="s">
        <v>20</v>
      </c>
      <c r="D28" s="353" t="s">
        <v>13</v>
      </c>
      <c r="E28" s="354" t="s">
        <v>8</v>
      </c>
      <c r="F28" s="355" t="e">
        <f>#REF!</f>
        <v>#REF!</v>
      </c>
      <c r="I28" s="228"/>
      <c r="J28" s="228"/>
      <c r="K28" s="228"/>
      <c r="L28" s="228"/>
      <c r="M28" s="228"/>
      <c r="N28" s="228"/>
      <c r="O28" s="228"/>
      <c r="P28" s="228"/>
      <c r="Q28" s="228"/>
      <c r="R28" s="228"/>
    </row>
    <row r="29" spans="1:38" ht="24" customHeight="1" thickBot="1" x14ac:dyDescent="0.3">
      <c r="A29" s="219" t="s">
        <v>215</v>
      </c>
      <c r="B29" s="220" t="s">
        <v>5</v>
      </c>
      <c r="C29" s="221" t="s">
        <v>20</v>
      </c>
      <c r="D29" s="222" t="s">
        <v>214</v>
      </c>
      <c r="E29" s="223" t="s">
        <v>8</v>
      </c>
      <c r="F29" s="224" t="e">
        <f>#REF!</f>
        <v>#REF!</v>
      </c>
      <c r="I29" s="228"/>
      <c r="J29" s="228"/>
      <c r="K29" s="228"/>
      <c r="L29" s="228"/>
      <c r="M29" s="228"/>
      <c r="N29" s="228"/>
      <c r="O29" s="228"/>
      <c r="P29" s="228"/>
      <c r="Q29" s="228"/>
      <c r="R29" s="228"/>
    </row>
    <row r="30" spans="1:38" ht="7.5" customHeight="1" thickBot="1" x14ac:dyDescent="0.3">
      <c r="I30" s="228"/>
      <c r="J30" s="228"/>
      <c r="K30" s="228"/>
      <c r="L30" s="228"/>
      <c r="M30" s="228"/>
      <c r="N30" s="228"/>
      <c r="O30" s="228"/>
      <c r="P30" s="228"/>
      <c r="Q30" s="228"/>
      <c r="R30" s="228"/>
    </row>
    <row r="31" spans="1:38" ht="20.25" customHeight="1" thickBot="1" x14ac:dyDescent="0.3">
      <c r="A31" s="143" t="s">
        <v>14</v>
      </c>
      <c r="B31" s="438" t="s">
        <v>7</v>
      </c>
      <c r="C31" s="439"/>
      <c r="D31" s="439"/>
      <c r="E31" s="439"/>
      <c r="F31" s="440"/>
      <c r="I31" s="228"/>
      <c r="J31" s="228"/>
      <c r="K31" s="228"/>
      <c r="L31" s="228"/>
      <c r="M31" s="228"/>
      <c r="N31" s="228"/>
      <c r="O31" s="228"/>
      <c r="P31" s="228"/>
      <c r="Q31" s="228"/>
      <c r="R31" s="228"/>
    </row>
    <row r="32" spans="1:38" ht="24" customHeight="1" thickTop="1" thickBot="1" x14ac:dyDescent="0.3">
      <c r="A32" s="451" t="s">
        <v>15</v>
      </c>
      <c r="B32" s="452"/>
      <c r="C32" s="452"/>
      <c r="D32" s="452"/>
      <c r="E32" s="453"/>
      <c r="F32" s="156" t="e">
        <f>IF(SUM(F34:F38)=0,"",SUM(F34:F38))</f>
        <v>#REF!</v>
      </c>
      <c r="G32" s="157" t="e">
        <f>IF(F32="",0,1)</f>
        <v>#REF!</v>
      </c>
      <c r="H32" s="231" t="e">
        <f>F32</f>
        <v>#REF!</v>
      </c>
      <c r="I32" s="232" t="s">
        <v>29</v>
      </c>
      <c r="J32" s="160" t="s">
        <v>57</v>
      </c>
      <c r="K32" s="161" t="s">
        <v>63</v>
      </c>
      <c r="L32" s="162" t="s">
        <v>56</v>
      </c>
      <c r="M32" s="163" t="s">
        <v>30</v>
      </c>
      <c r="N32" s="163" t="s">
        <v>31</v>
      </c>
      <c r="O32" s="164" t="s">
        <v>32</v>
      </c>
      <c r="P32" s="165" t="s">
        <v>34</v>
      </c>
      <c r="Q32" s="166" t="s">
        <v>35</v>
      </c>
      <c r="R32" s="167" t="s">
        <v>62</v>
      </c>
    </row>
    <row r="33" spans="1:18" ht="27.75" customHeight="1" thickTop="1" thickBot="1" x14ac:dyDescent="0.3">
      <c r="A33" s="175" t="s">
        <v>10</v>
      </c>
      <c r="B33" s="441" t="s">
        <v>3</v>
      </c>
      <c r="C33" s="442"/>
      <c r="D33" s="442"/>
      <c r="E33" s="443"/>
      <c r="F33" s="176" t="s">
        <v>6</v>
      </c>
      <c r="G33" s="234"/>
      <c r="H33" s="235"/>
      <c r="I33" s="179" t="e">
        <f>IF(F32="",0,IF(F32&gt;$AI$1,$AL$13,IF(F32&gt;$AF$1,$AI$13,IF(F32&gt;$AC$1,$AF$13,IF(F32&gt;$Z$1,$AC$13,IF(F32&gt;$W$1,$Z$13,IF(F32=0,0,$W$13)))))))</f>
        <v>#REF!</v>
      </c>
      <c r="J33" s="179" t="e">
        <f>IF(F32="",0,IF(F32&gt;$AI$1,$AL$14,IF(F32&gt;$AF$1,$AI$14,IF(F32&gt;$AC$1,$AF$14,IF(F32&gt;$Z$1,$AC$14,IF(F32&gt;$W$1,$Z$14,IF(F32=0,0,$W$14)))))))</f>
        <v>#REF!</v>
      </c>
      <c r="K33" s="179" t="e">
        <f>IF(F32="",0,IF(F32&gt;$AI$1,$AL$15,IF(F32&gt;$AF$1,$AI$15,IF(F32&gt;$AC$1,$AF$15,IF(F32&gt;$Z$1,$AC$15,IF(F32&gt;$W$1,$Z$15,IF(F32=0,0,$W$15)))))))</f>
        <v>#REF!</v>
      </c>
      <c r="L33" s="180" t="e">
        <f>IF(F32="",0,IF(F32&gt;$AI$1,$AL$16,IF(F32&gt;$AF$1,$AI$16,IF(F32&gt;$AC$1,$AF$16,IF(F32&gt;$Z$1,$AC$16,IF(F32&gt;$W$1,$Z$16,IF(F32=0,0,$W$16)))))))</f>
        <v>#REF!</v>
      </c>
      <c r="M33" s="180" t="e">
        <f>IF(F32="",0,IF(F32&gt;$AI$1,$AL$17,IF(F32&gt;$AF$1,$AI$17,IF(F32&gt;$AC$1,$AF$17,IF(F32&gt;$Z$1,$AC$17,IF(F32&gt;$W$1,$Z$17,IF(F32=0,0,$W$17)))))))</f>
        <v>#REF!</v>
      </c>
      <c r="N33" s="180" t="e">
        <f>IF(F32="",0,IF(F32&gt;$AI$1,$AL$18,IF(F32&gt;$AF$1,$AI$18,IF(F32&gt;$AC$1,$AF$18,IF(F32&gt;$Z$1,$AC$18,IF(F32&gt;$W$1,$Z$18,IF(F32=0,0,$W$18)))))))</f>
        <v>#REF!</v>
      </c>
      <c r="O33" s="181" t="e">
        <f>IF(F32="",0,IF(F32&gt;$AI$1,$AL$20,IF(F32&gt;$AF$1,$AI$20,IF(F32&gt;$AC$1,$AF$20,IF(F32&gt;$Z$1,$AC$20,IF(F32&gt;$W$1,$Z$20,IF(F32=0,0,$W$20)))))))</f>
        <v>#REF!</v>
      </c>
      <c r="P33" s="182" t="e">
        <f>IF(SUM(F35:F38)&gt;1000000,H32*0.12%,0)</f>
        <v>#REF!</v>
      </c>
      <c r="Q33" s="180" t="e">
        <f>IF(SUM(F35:F38)&gt;1000000,H32*0.095%,0)</f>
        <v>#REF!</v>
      </c>
      <c r="R33" s="183" t="e">
        <f>IF(F36&gt;3000000,2*$U$1,IF(F36&gt;100000,$U$1,0))</f>
        <v>#REF!</v>
      </c>
    </row>
    <row r="34" spans="1:18" ht="24" customHeight="1" x14ac:dyDescent="0.25">
      <c r="A34" s="191" t="s">
        <v>73</v>
      </c>
      <c r="B34" s="192" t="s">
        <v>4</v>
      </c>
      <c r="C34" s="193" t="s">
        <v>21</v>
      </c>
      <c r="D34" s="194" t="s">
        <v>8</v>
      </c>
      <c r="E34" s="237" t="s">
        <v>18</v>
      </c>
      <c r="F34" s="196" t="e">
        <f>#REF!</f>
        <v>#REF!</v>
      </c>
      <c r="G34" s="197"/>
      <c r="H34" s="198"/>
      <c r="I34" s="199"/>
      <c r="J34" s="199"/>
      <c r="K34" s="199"/>
      <c r="L34" s="199"/>
      <c r="M34" s="199"/>
      <c r="N34" s="199"/>
      <c r="O34" s="199"/>
      <c r="P34" s="199"/>
      <c r="Q34" s="199"/>
      <c r="R34" s="199"/>
    </row>
    <row r="35" spans="1:18" ht="24" customHeight="1" x14ac:dyDescent="0.25">
      <c r="A35" s="191" t="s">
        <v>1</v>
      </c>
      <c r="B35" s="192" t="s">
        <v>5</v>
      </c>
      <c r="C35" s="193" t="s">
        <v>21</v>
      </c>
      <c r="D35" s="194" t="s">
        <v>11</v>
      </c>
      <c r="E35" s="208" t="s">
        <v>8</v>
      </c>
      <c r="F35" s="196" t="e">
        <f>#REF!</f>
        <v>#REF!</v>
      </c>
      <c r="I35" s="228"/>
      <c r="J35" s="228"/>
      <c r="K35" s="228"/>
      <c r="L35" s="228"/>
      <c r="M35" s="228"/>
      <c r="N35" s="228"/>
      <c r="O35" s="228"/>
      <c r="P35" s="228"/>
      <c r="Q35" s="228"/>
      <c r="R35" s="228"/>
    </row>
    <row r="36" spans="1:18" ht="24" customHeight="1" x14ac:dyDescent="0.25">
      <c r="A36" s="191" t="s">
        <v>17</v>
      </c>
      <c r="B36" s="192" t="s">
        <v>5</v>
      </c>
      <c r="C36" s="193" t="s">
        <v>21</v>
      </c>
      <c r="D36" s="194" t="s">
        <v>12</v>
      </c>
      <c r="E36" s="208" t="s">
        <v>8</v>
      </c>
      <c r="F36" s="196" t="e">
        <f>#REF!</f>
        <v>#REF!</v>
      </c>
      <c r="I36" s="228"/>
      <c r="J36" s="228"/>
      <c r="K36" s="228"/>
      <c r="L36" s="228"/>
      <c r="M36" s="228"/>
      <c r="N36" s="228"/>
      <c r="O36" s="228"/>
      <c r="P36" s="228"/>
      <c r="Q36" s="228"/>
      <c r="R36" s="228"/>
    </row>
    <row r="37" spans="1:18" ht="24" customHeight="1" x14ac:dyDescent="0.25">
      <c r="A37" s="350" t="s">
        <v>2</v>
      </c>
      <c r="B37" s="351" t="s">
        <v>5</v>
      </c>
      <c r="C37" s="352" t="s">
        <v>21</v>
      </c>
      <c r="D37" s="353" t="s">
        <v>13</v>
      </c>
      <c r="E37" s="354" t="s">
        <v>8</v>
      </c>
      <c r="F37" s="355" t="e">
        <f>#REF!</f>
        <v>#REF!</v>
      </c>
      <c r="I37" s="228"/>
      <c r="J37" s="228"/>
      <c r="K37" s="228"/>
      <c r="L37" s="228"/>
      <c r="M37" s="228"/>
      <c r="N37" s="228"/>
      <c r="O37" s="228"/>
      <c r="P37" s="228"/>
      <c r="Q37" s="228"/>
      <c r="R37" s="228"/>
    </row>
    <row r="38" spans="1:18" ht="24" customHeight="1" thickBot="1" x14ac:dyDescent="0.3">
      <c r="A38" s="219" t="s">
        <v>215</v>
      </c>
      <c r="B38" s="220" t="s">
        <v>5</v>
      </c>
      <c r="C38" s="221" t="s">
        <v>21</v>
      </c>
      <c r="D38" s="222" t="s">
        <v>214</v>
      </c>
      <c r="E38" s="223" t="s">
        <v>8</v>
      </c>
      <c r="F38" s="224" t="e">
        <f>#REF!</f>
        <v>#REF!</v>
      </c>
      <c r="I38" s="228"/>
      <c r="J38" s="228"/>
      <c r="K38" s="228"/>
      <c r="L38" s="228"/>
      <c r="M38" s="228"/>
      <c r="N38" s="228"/>
      <c r="O38" s="228"/>
      <c r="P38" s="228"/>
      <c r="Q38" s="228"/>
      <c r="R38" s="228"/>
    </row>
    <row r="39" spans="1:18" ht="7.5" customHeight="1" thickBot="1" x14ac:dyDescent="0.3">
      <c r="I39" s="228"/>
      <c r="J39" s="228"/>
      <c r="K39" s="228"/>
      <c r="L39" s="228"/>
      <c r="M39" s="228"/>
      <c r="N39" s="228"/>
      <c r="O39" s="228"/>
      <c r="P39" s="228"/>
      <c r="Q39" s="228"/>
      <c r="R39" s="228"/>
    </row>
    <row r="40" spans="1:18" ht="20.25" customHeight="1" thickBot="1" x14ac:dyDescent="0.3">
      <c r="A40" s="143" t="s">
        <v>14</v>
      </c>
      <c r="B40" s="438" t="s">
        <v>7</v>
      </c>
      <c r="C40" s="439"/>
      <c r="D40" s="439"/>
      <c r="E40" s="439"/>
      <c r="F40" s="440"/>
      <c r="I40" s="228"/>
      <c r="J40" s="228"/>
      <c r="K40" s="228"/>
      <c r="L40" s="228"/>
      <c r="M40" s="228"/>
      <c r="N40" s="228"/>
      <c r="O40" s="228"/>
      <c r="P40" s="228"/>
      <c r="Q40" s="228"/>
      <c r="R40" s="228"/>
    </row>
    <row r="41" spans="1:18" ht="24" customHeight="1" thickTop="1" thickBot="1" x14ac:dyDescent="0.3">
      <c r="A41" s="451" t="s">
        <v>15</v>
      </c>
      <c r="B41" s="452"/>
      <c r="C41" s="452"/>
      <c r="D41" s="452"/>
      <c r="E41" s="453"/>
      <c r="F41" s="156" t="e">
        <f>IF(SUM(F43:F47)=0,"",SUM(F43:F47))</f>
        <v>#REF!</v>
      </c>
      <c r="G41" s="157" t="e">
        <f>IF(F41="",0,1)</f>
        <v>#REF!</v>
      </c>
      <c r="H41" s="231" t="e">
        <f>F41</f>
        <v>#REF!</v>
      </c>
      <c r="I41" s="232" t="s">
        <v>29</v>
      </c>
      <c r="J41" s="160" t="s">
        <v>57</v>
      </c>
      <c r="K41" s="161" t="s">
        <v>63</v>
      </c>
      <c r="L41" s="162" t="s">
        <v>56</v>
      </c>
      <c r="M41" s="163" t="s">
        <v>30</v>
      </c>
      <c r="N41" s="163" t="s">
        <v>31</v>
      </c>
      <c r="O41" s="164" t="s">
        <v>32</v>
      </c>
      <c r="P41" s="165" t="s">
        <v>34</v>
      </c>
      <c r="Q41" s="166" t="s">
        <v>35</v>
      </c>
      <c r="R41" s="167" t="s">
        <v>62</v>
      </c>
    </row>
    <row r="42" spans="1:18" ht="27.75" customHeight="1" thickTop="1" thickBot="1" x14ac:dyDescent="0.3">
      <c r="A42" s="175" t="s">
        <v>10</v>
      </c>
      <c r="B42" s="441" t="s">
        <v>3</v>
      </c>
      <c r="C42" s="442"/>
      <c r="D42" s="442"/>
      <c r="E42" s="443"/>
      <c r="F42" s="176" t="s">
        <v>6</v>
      </c>
      <c r="G42" s="234"/>
      <c r="H42" s="235"/>
      <c r="I42" s="179" t="e">
        <f>IF(F41="",0,IF(F41&gt;$AI$1,$AL$13,IF(F41&gt;$AF$1,$AI$13,IF(F41&gt;$AC$1,$AF$13,IF(F41&gt;$Z$1,$AC$13,IF(F41&gt;$W$1,$Z$13,IF(F41=0,0,$W$13)))))))</f>
        <v>#REF!</v>
      </c>
      <c r="J42" s="179" t="e">
        <f>IF(F41="",0,IF(F41&gt;$AI$1,$AL$14,IF(F41&gt;$AF$1,$AI$14,IF(F41&gt;$AC$1,$AF$14,IF(F41&gt;$Z$1,$AC$14,IF(F41&gt;$W$1,$Z$14,IF(F41=0,0,$W$14)))))))</f>
        <v>#REF!</v>
      </c>
      <c r="K42" s="179" t="e">
        <f>IF(F41="",0,IF(F41&gt;$AI$1,$AL$15,IF(F41&gt;$AF$1,$AI$15,IF(F41&gt;$AC$1,$AF$15,IF(F41&gt;$Z$1,$AC$15,IF(F41&gt;$W$1,$Z$15,IF(F41=0,0,$W$15)))))))</f>
        <v>#REF!</v>
      </c>
      <c r="L42" s="180" t="e">
        <f>IF(F41="",0,IF(F41&gt;$AI$1,$AL$16,IF(F41&gt;$AF$1,$AI$16,IF(F41&gt;$AC$1,$AF$16,IF(F41&gt;$Z$1,$AC$16,IF(F41&gt;$W$1,$Z$16,IF(F41=0,0,$W$16)))))))</f>
        <v>#REF!</v>
      </c>
      <c r="M42" s="180" t="e">
        <f>IF(F41="",0,IF(F41&gt;$AI$1,$AL$17,IF(F41&gt;$AF$1,$AI$17,IF(F41&gt;$AC$1,$AF$17,IF(F41&gt;$Z$1,$AC$17,IF(F41&gt;$W$1,$Z$17,IF(F41=0,0,$W$17)))))))</f>
        <v>#REF!</v>
      </c>
      <c r="N42" s="180" t="e">
        <f>IF(F41="",0,IF(F41&gt;$AI$1,$AL$18,IF(F41&gt;$AF$1,$AI$18,IF(F41&gt;$AC$1,$AF$18,IF(F41&gt;$Z$1,$AC$18,IF(F41&gt;$W$1,$Z$18,IF(F41=0,0,$W$18)))))))</f>
        <v>#REF!</v>
      </c>
      <c r="O42" s="181" t="e">
        <f>IF(F41="",0,IF(F41&gt;$AI$1,$AL$20,IF(F41&gt;$AF$1,$AI$20,IF(F41&gt;$AC$1,$AF$20,IF(F41&gt;$Z$1,$AC$20,IF(F41&gt;$W$1,$Z$20,IF(F41=0,0,$W$20)))))))</f>
        <v>#REF!</v>
      </c>
      <c r="P42" s="182" t="e">
        <f>IF(SUM(F44:F47)&gt;1000000,H41*0.12%,0)</f>
        <v>#REF!</v>
      </c>
      <c r="Q42" s="180" t="e">
        <f>IF(SUM(F44:F47)&gt;1000000,H41*0.095%,0)</f>
        <v>#REF!</v>
      </c>
      <c r="R42" s="183" t="e">
        <f>IF(F45&gt;3000000,2*$U$1,IF(F45&gt;100000,$U$1,0))</f>
        <v>#REF!</v>
      </c>
    </row>
    <row r="43" spans="1:18" ht="24" customHeight="1" x14ac:dyDescent="0.25">
      <c r="A43" s="191" t="s">
        <v>73</v>
      </c>
      <c r="B43" s="192" t="s">
        <v>4</v>
      </c>
      <c r="C43" s="193" t="s">
        <v>22</v>
      </c>
      <c r="D43" s="194" t="s">
        <v>8</v>
      </c>
      <c r="E43" s="237" t="s">
        <v>18</v>
      </c>
      <c r="F43" s="196" t="e">
        <f>#REF!</f>
        <v>#REF!</v>
      </c>
      <c r="G43" s="197"/>
      <c r="H43" s="198"/>
      <c r="I43" s="199"/>
      <c r="J43" s="199"/>
      <c r="K43" s="199"/>
      <c r="L43" s="199"/>
      <c r="M43" s="199"/>
      <c r="N43" s="199"/>
      <c r="O43" s="199"/>
      <c r="P43" s="199"/>
      <c r="Q43" s="199"/>
      <c r="R43" s="199"/>
    </row>
    <row r="44" spans="1:18" ht="24" customHeight="1" x14ac:dyDescent="0.25">
      <c r="A44" s="191" t="s">
        <v>1</v>
      </c>
      <c r="B44" s="192" t="s">
        <v>5</v>
      </c>
      <c r="C44" s="193" t="s">
        <v>22</v>
      </c>
      <c r="D44" s="194" t="s">
        <v>11</v>
      </c>
      <c r="E44" s="208" t="s">
        <v>8</v>
      </c>
      <c r="F44" s="196" t="e">
        <f>#REF!</f>
        <v>#REF!</v>
      </c>
      <c r="I44" s="228"/>
      <c r="J44" s="228"/>
      <c r="K44" s="228"/>
      <c r="L44" s="228"/>
      <c r="M44" s="228"/>
      <c r="N44" s="228"/>
      <c r="O44" s="228"/>
      <c r="P44" s="228"/>
      <c r="Q44" s="228"/>
      <c r="R44" s="228"/>
    </row>
    <row r="45" spans="1:18" ht="24" customHeight="1" x14ac:dyDescent="0.25">
      <c r="A45" s="191" t="s">
        <v>17</v>
      </c>
      <c r="B45" s="192" t="s">
        <v>5</v>
      </c>
      <c r="C45" s="193" t="s">
        <v>22</v>
      </c>
      <c r="D45" s="194" t="s">
        <v>12</v>
      </c>
      <c r="E45" s="208" t="s">
        <v>8</v>
      </c>
      <c r="F45" s="196" t="e">
        <f>#REF!</f>
        <v>#REF!</v>
      </c>
      <c r="I45" s="228"/>
      <c r="J45" s="228"/>
      <c r="K45" s="228"/>
      <c r="L45" s="228"/>
      <c r="M45" s="228"/>
      <c r="N45" s="228"/>
      <c r="O45" s="228"/>
      <c r="P45" s="228"/>
      <c r="Q45" s="228"/>
      <c r="R45" s="228"/>
    </row>
    <row r="46" spans="1:18" ht="24" customHeight="1" x14ac:dyDescent="0.25">
      <c r="A46" s="350" t="s">
        <v>2</v>
      </c>
      <c r="B46" s="351" t="s">
        <v>5</v>
      </c>
      <c r="C46" s="352" t="s">
        <v>22</v>
      </c>
      <c r="D46" s="353" t="s">
        <v>13</v>
      </c>
      <c r="E46" s="354" t="s">
        <v>8</v>
      </c>
      <c r="F46" s="355" t="e">
        <f>#REF!</f>
        <v>#REF!</v>
      </c>
      <c r="I46" s="228"/>
      <c r="J46" s="228"/>
      <c r="K46" s="228"/>
      <c r="L46" s="228"/>
      <c r="M46" s="228"/>
      <c r="N46" s="228"/>
      <c r="O46" s="228"/>
      <c r="P46" s="228"/>
      <c r="Q46" s="228"/>
      <c r="R46" s="228"/>
    </row>
    <row r="47" spans="1:18" ht="24" customHeight="1" thickBot="1" x14ac:dyDescent="0.3">
      <c r="A47" s="219" t="s">
        <v>215</v>
      </c>
      <c r="B47" s="220" t="s">
        <v>5</v>
      </c>
      <c r="C47" s="221" t="s">
        <v>22</v>
      </c>
      <c r="D47" s="222" t="s">
        <v>214</v>
      </c>
      <c r="E47" s="223" t="s">
        <v>8</v>
      </c>
      <c r="F47" s="224" t="e">
        <f>#REF!</f>
        <v>#REF!</v>
      </c>
      <c r="I47" s="228"/>
      <c r="J47" s="228"/>
      <c r="K47" s="228"/>
      <c r="L47" s="228"/>
      <c r="M47" s="228"/>
      <c r="N47" s="228"/>
      <c r="O47" s="228"/>
      <c r="P47" s="228"/>
      <c r="Q47" s="228"/>
      <c r="R47" s="228"/>
    </row>
    <row r="48" spans="1:18" ht="7.5" customHeight="1" thickBot="1" x14ac:dyDescent="0.3">
      <c r="I48" s="228"/>
      <c r="J48" s="228"/>
      <c r="K48" s="228"/>
      <c r="L48" s="228"/>
      <c r="M48" s="228"/>
      <c r="N48" s="228"/>
      <c r="O48" s="228"/>
      <c r="P48" s="228"/>
      <c r="Q48" s="228"/>
      <c r="R48" s="228"/>
    </row>
    <row r="49" spans="1:18" ht="20.25" customHeight="1" thickBot="1" x14ac:dyDescent="0.3">
      <c r="A49" s="143" t="s">
        <v>14</v>
      </c>
      <c r="B49" s="438" t="s">
        <v>7</v>
      </c>
      <c r="C49" s="439"/>
      <c r="D49" s="439"/>
      <c r="E49" s="439"/>
      <c r="F49" s="440"/>
      <c r="I49" s="228"/>
      <c r="J49" s="228"/>
      <c r="K49" s="228"/>
      <c r="L49" s="228"/>
      <c r="M49" s="228"/>
      <c r="N49" s="228"/>
      <c r="O49" s="228"/>
      <c r="P49" s="228"/>
      <c r="Q49" s="228"/>
      <c r="R49" s="228"/>
    </row>
    <row r="50" spans="1:18" ht="24" customHeight="1" thickTop="1" thickBot="1" x14ac:dyDescent="0.3">
      <c r="A50" s="451" t="s">
        <v>15</v>
      </c>
      <c r="B50" s="452"/>
      <c r="C50" s="452"/>
      <c r="D50" s="452"/>
      <c r="E50" s="453"/>
      <c r="F50" s="156" t="e">
        <f>IF(SUM(F52:F56)=0,"",SUM(F52:F56))</f>
        <v>#REF!</v>
      </c>
      <c r="G50" s="157" t="e">
        <f>IF(F50="",0,1)</f>
        <v>#REF!</v>
      </c>
      <c r="H50" s="231" t="e">
        <f>F50</f>
        <v>#REF!</v>
      </c>
      <c r="I50" s="232" t="s">
        <v>29</v>
      </c>
      <c r="J50" s="160" t="s">
        <v>57</v>
      </c>
      <c r="K50" s="161" t="s">
        <v>63</v>
      </c>
      <c r="L50" s="162" t="s">
        <v>56</v>
      </c>
      <c r="M50" s="163" t="s">
        <v>30</v>
      </c>
      <c r="N50" s="163" t="s">
        <v>31</v>
      </c>
      <c r="O50" s="164" t="s">
        <v>32</v>
      </c>
      <c r="P50" s="165" t="s">
        <v>34</v>
      </c>
      <c r="Q50" s="166" t="s">
        <v>35</v>
      </c>
      <c r="R50" s="167" t="s">
        <v>62</v>
      </c>
    </row>
    <row r="51" spans="1:18" ht="27.75" customHeight="1" thickTop="1" thickBot="1" x14ac:dyDescent="0.3">
      <c r="A51" s="175" t="s">
        <v>10</v>
      </c>
      <c r="B51" s="441" t="s">
        <v>3</v>
      </c>
      <c r="C51" s="442"/>
      <c r="D51" s="442"/>
      <c r="E51" s="443"/>
      <c r="F51" s="176" t="s">
        <v>6</v>
      </c>
      <c r="G51" s="234"/>
      <c r="H51" s="235"/>
      <c r="I51" s="179" t="e">
        <f>IF(F50="",0,IF(F50&gt;$AI$1,$AL$13,IF(F50&gt;$AF$1,$AI$13,IF(F50&gt;$AC$1,$AF$13,IF(F50&gt;$Z$1,$AC$13,IF(F50&gt;$W$1,$Z$13,IF(F50=0,0,$W$13)))))))</f>
        <v>#REF!</v>
      </c>
      <c r="J51" s="179" t="e">
        <f>IF(F50="",0,IF(F50&gt;$AI$1,$AL$14,IF(F50&gt;$AF$1,$AI$14,IF(F50&gt;$AC$1,$AF$14,IF(F50&gt;$Z$1,$AC$14,IF(F50&gt;$W$1,$Z$14,IF(F50=0,0,$W$14)))))))</f>
        <v>#REF!</v>
      </c>
      <c r="K51" s="179" t="e">
        <f>IF(F50="",0,IF(F50&gt;$AI$1,$AL$15,IF(F50&gt;$AF$1,$AI$15,IF(F50&gt;$AC$1,$AF$15,IF(F50&gt;$Z$1,$AC$15,IF(F50&gt;$W$1,$Z$15,IF(F50=0,0,$W$15)))))))</f>
        <v>#REF!</v>
      </c>
      <c r="L51" s="180" t="e">
        <f>IF(F50="",0,IF(F50&gt;$AI$1,$AL$16,IF(F50&gt;$AF$1,$AI$16,IF(F50&gt;$AC$1,$AF$16,IF(F50&gt;$Z$1,$AC$16,IF(F50&gt;$W$1,$Z$16,IF(F50=0,0,$W$16)))))))</f>
        <v>#REF!</v>
      </c>
      <c r="M51" s="180" t="e">
        <f>IF(F50="",0,IF(F50&gt;$AI$1,$AL$17,IF(F50&gt;$AF$1,$AI$17,IF(F50&gt;$AC$1,$AF$17,IF(F50&gt;$Z$1,$AC$17,IF(F50&gt;$W$1,$Z$17,IF(F50=0,0,$W$17)))))))</f>
        <v>#REF!</v>
      </c>
      <c r="N51" s="180" t="e">
        <f>IF(F50="",0,IF(F50&gt;$AI$1,$AL$18,IF(F50&gt;$AF$1,$AI$18,IF(F50&gt;$AC$1,$AF$18,IF(F50&gt;$Z$1,$AC$18,IF(F50&gt;$W$1,$Z$18,IF(F50=0,0,$W$18)))))))</f>
        <v>#REF!</v>
      </c>
      <c r="O51" s="181" t="e">
        <f>IF(F50="",0,IF(F50&gt;$AI$1,$AL$20,IF(F50&gt;$AF$1,$AI$20,IF(F50&gt;$AC$1,$AF$20,IF(F50&gt;$Z$1,$AC$20,IF(F50&gt;$W$1,$Z$20,IF(F50=0,0,$W$20)))))))</f>
        <v>#REF!</v>
      </c>
      <c r="P51" s="182" t="e">
        <f>IF(SUM(F53:F56)&gt;1000000,H50*0.12%,0)</f>
        <v>#REF!</v>
      </c>
      <c r="Q51" s="180" t="e">
        <f>IF(SUM(F53:F56)&gt;1000000,H50*0.095%,0)</f>
        <v>#REF!</v>
      </c>
      <c r="R51" s="183" t="e">
        <f>IF(F54&gt;3000000,2*$U$1,IF(F54&gt;100000,$U$1,0))</f>
        <v>#REF!</v>
      </c>
    </row>
    <row r="52" spans="1:18" ht="24" customHeight="1" x14ac:dyDescent="0.25">
      <c r="A52" s="191" t="s">
        <v>73</v>
      </c>
      <c r="B52" s="192" t="s">
        <v>4</v>
      </c>
      <c r="C52" s="193" t="s">
        <v>23</v>
      </c>
      <c r="D52" s="194" t="s">
        <v>8</v>
      </c>
      <c r="E52" s="237" t="s">
        <v>18</v>
      </c>
      <c r="F52" s="196" t="e">
        <f>#REF!</f>
        <v>#REF!</v>
      </c>
      <c r="G52" s="197"/>
      <c r="H52" s="198"/>
      <c r="I52" s="199"/>
      <c r="J52" s="199"/>
      <c r="K52" s="199"/>
      <c r="L52" s="199"/>
      <c r="M52" s="199"/>
      <c r="N52" s="199"/>
      <c r="O52" s="199"/>
      <c r="P52" s="199"/>
      <c r="Q52" s="199"/>
      <c r="R52" s="199"/>
    </row>
    <row r="53" spans="1:18" ht="24" customHeight="1" x14ac:dyDescent="0.25">
      <c r="A53" s="191" t="s">
        <v>1</v>
      </c>
      <c r="B53" s="192" t="s">
        <v>5</v>
      </c>
      <c r="C53" s="193" t="s">
        <v>23</v>
      </c>
      <c r="D53" s="194" t="s">
        <v>11</v>
      </c>
      <c r="E53" s="208" t="s">
        <v>8</v>
      </c>
      <c r="F53" s="196" t="e">
        <f>#REF!</f>
        <v>#REF!</v>
      </c>
      <c r="I53" s="228"/>
      <c r="J53" s="228"/>
      <c r="K53" s="228"/>
      <c r="L53" s="228"/>
      <c r="M53" s="228"/>
      <c r="N53" s="228"/>
      <c r="O53" s="228"/>
      <c r="P53" s="228"/>
      <c r="Q53" s="228"/>
      <c r="R53" s="228"/>
    </row>
    <row r="54" spans="1:18" ht="24" customHeight="1" x14ac:dyDescent="0.25">
      <c r="A54" s="191" t="s">
        <v>17</v>
      </c>
      <c r="B54" s="192" t="s">
        <v>5</v>
      </c>
      <c r="C54" s="193" t="s">
        <v>23</v>
      </c>
      <c r="D54" s="194" t="s">
        <v>12</v>
      </c>
      <c r="E54" s="208" t="s">
        <v>8</v>
      </c>
      <c r="F54" s="196" t="e">
        <f>#REF!</f>
        <v>#REF!</v>
      </c>
      <c r="I54" s="228"/>
      <c r="J54" s="228"/>
      <c r="K54" s="228"/>
      <c r="L54" s="228"/>
      <c r="M54" s="228"/>
      <c r="N54" s="228"/>
      <c r="O54" s="228"/>
      <c r="P54" s="228"/>
      <c r="Q54" s="228"/>
      <c r="R54" s="228"/>
    </row>
    <row r="55" spans="1:18" ht="24" customHeight="1" x14ac:dyDescent="0.25">
      <c r="A55" s="350" t="s">
        <v>2</v>
      </c>
      <c r="B55" s="351" t="s">
        <v>5</v>
      </c>
      <c r="C55" s="352" t="s">
        <v>23</v>
      </c>
      <c r="D55" s="353" t="s">
        <v>13</v>
      </c>
      <c r="E55" s="354" t="s">
        <v>8</v>
      </c>
      <c r="F55" s="355" t="e">
        <f>#REF!</f>
        <v>#REF!</v>
      </c>
      <c r="I55" s="228"/>
      <c r="J55" s="228"/>
      <c r="K55" s="228"/>
      <c r="L55" s="228"/>
      <c r="M55" s="228"/>
      <c r="N55" s="228"/>
      <c r="O55" s="228"/>
      <c r="P55" s="228"/>
      <c r="Q55" s="228"/>
      <c r="R55" s="228"/>
    </row>
    <row r="56" spans="1:18" ht="24" customHeight="1" thickBot="1" x14ac:dyDescent="0.3">
      <c r="A56" s="219" t="s">
        <v>215</v>
      </c>
      <c r="B56" s="220" t="s">
        <v>5</v>
      </c>
      <c r="C56" s="221" t="s">
        <v>23</v>
      </c>
      <c r="D56" s="222" t="s">
        <v>214</v>
      </c>
      <c r="E56" s="223" t="s">
        <v>8</v>
      </c>
      <c r="F56" s="224" t="e">
        <f>#REF!</f>
        <v>#REF!</v>
      </c>
      <c r="I56" s="228"/>
      <c r="J56" s="228"/>
      <c r="K56" s="228"/>
      <c r="L56" s="228"/>
      <c r="M56" s="228"/>
      <c r="N56" s="228"/>
      <c r="O56" s="228"/>
      <c r="P56" s="228"/>
      <c r="Q56" s="228"/>
      <c r="R56" s="228"/>
    </row>
    <row r="57" spans="1:18" ht="7.5" customHeight="1" thickBot="1" x14ac:dyDescent="0.3">
      <c r="I57" s="228"/>
      <c r="J57" s="228"/>
      <c r="K57" s="228"/>
      <c r="L57" s="228"/>
      <c r="M57" s="228"/>
      <c r="N57" s="228"/>
      <c r="O57" s="228"/>
      <c r="P57" s="228"/>
      <c r="Q57" s="228"/>
      <c r="R57" s="228"/>
    </row>
    <row r="58" spans="1:18" ht="20.25" customHeight="1" thickBot="1" x14ac:dyDescent="0.3">
      <c r="A58" s="143" t="s">
        <v>14</v>
      </c>
      <c r="B58" s="438" t="s">
        <v>7</v>
      </c>
      <c r="C58" s="439"/>
      <c r="D58" s="439"/>
      <c r="E58" s="439"/>
      <c r="F58" s="440"/>
      <c r="I58" s="228"/>
      <c r="J58" s="228"/>
      <c r="K58" s="228"/>
      <c r="L58" s="228"/>
      <c r="M58" s="228"/>
      <c r="N58" s="228"/>
      <c r="O58" s="228"/>
      <c r="P58" s="228"/>
      <c r="Q58" s="228"/>
      <c r="R58" s="228"/>
    </row>
    <row r="59" spans="1:18" ht="24" customHeight="1" thickTop="1" thickBot="1" x14ac:dyDescent="0.3">
      <c r="A59" s="451" t="s">
        <v>15</v>
      </c>
      <c r="B59" s="452"/>
      <c r="C59" s="452"/>
      <c r="D59" s="452"/>
      <c r="E59" s="453"/>
      <c r="F59" s="156" t="e">
        <f>IF(SUM(F61:F65)=0,"",SUM(F61:F65))</f>
        <v>#REF!</v>
      </c>
      <c r="G59" s="157" t="e">
        <f>IF(F59="",0,1)</f>
        <v>#REF!</v>
      </c>
      <c r="H59" s="231" t="e">
        <f>F59</f>
        <v>#REF!</v>
      </c>
      <c r="I59" s="232" t="s">
        <v>29</v>
      </c>
      <c r="J59" s="160" t="s">
        <v>57</v>
      </c>
      <c r="K59" s="161" t="s">
        <v>63</v>
      </c>
      <c r="L59" s="162" t="s">
        <v>56</v>
      </c>
      <c r="M59" s="163" t="s">
        <v>30</v>
      </c>
      <c r="N59" s="163" t="s">
        <v>31</v>
      </c>
      <c r="O59" s="164" t="s">
        <v>32</v>
      </c>
      <c r="P59" s="165" t="s">
        <v>34</v>
      </c>
      <c r="Q59" s="166" t="s">
        <v>35</v>
      </c>
      <c r="R59" s="167" t="s">
        <v>62</v>
      </c>
    </row>
    <row r="60" spans="1:18" ht="27.75" customHeight="1" thickTop="1" thickBot="1" x14ac:dyDescent="0.3">
      <c r="A60" s="175" t="s">
        <v>10</v>
      </c>
      <c r="B60" s="441" t="s">
        <v>3</v>
      </c>
      <c r="C60" s="442"/>
      <c r="D60" s="442"/>
      <c r="E60" s="443"/>
      <c r="F60" s="176" t="s">
        <v>6</v>
      </c>
      <c r="G60" s="234"/>
      <c r="H60" s="235"/>
      <c r="I60" s="179" t="e">
        <f>IF(F59="",0,IF(F59&gt;$AI$1,$AL$13,IF(F59&gt;$AF$1,$AI$13,IF(F59&gt;$AC$1,$AF$13,IF(F59&gt;$Z$1,$AC$13,IF(F59&gt;$W$1,$Z$13,IF(F59=0,0,$W$13)))))))</f>
        <v>#REF!</v>
      </c>
      <c r="J60" s="179" t="e">
        <f>IF(F59="",0,IF(F59&gt;$AI$1,$AL$14,IF(F59&gt;$AF$1,$AI$14,IF(F59&gt;$AC$1,$AF$14,IF(F59&gt;$Z$1,$AC$14,IF(F59&gt;$W$1,$Z$14,IF(F59=0,0,$W$14)))))))</f>
        <v>#REF!</v>
      </c>
      <c r="K60" s="179" t="e">
        <f>IF(F59="",0,IF(F59&gt;$AI$1,$AL$15,IF(F59&gt;$AF$1,$AI$15,IF(F59&gt;$AC$1,$AF$15,IF(F59&gt;$Z$1,$AC$15,IF(F59&gt;$W$1,$Z$15,IF(F59=0,0,$W$15)))))))</f>
        <v>#REF!</v>
      </c>
      <c r="L60" s="180" t="e">
        <f>IF(F59="",0,IF(F59&gt;$AI$1,$AL$16,IF(F59&gt;$AF$1,$AI$16,IF(F59&gt;$AC$1,$AF$16,IF(F59&gt;$Z$1,$AC$16,IF(F59&gt;$W$1,$Z$16,IF(F59=0,0,$W$16)))))))</f>
        <v>#REF!</v>
      </c>
      <c r="M60" s="180" t="e">
        <f>IF(F59="",0,IF(F59&gt;$AI$1,$AL$17,IF(F59&gt;$AF$1,$AI$17,IF(F59&gt;$AC$1,$AF$17,IF(F59&gt;$Z$1,$AC$17,IF(F59&gt;$W$1,$Z$17,IF(F59=0,0,$W$17)))))))</f>
        <v>#REF!</v>
      </c>
      <c r="N60" s="180" t="e">
        <f>IF(F59="",0,IF(F59&gt;$AI$1,$AL$18,IF(F59&gt;$AF$1,$AI$18,IF(F59&gt;$AC$1,$AF$18,IF(F59&gt;$Z$1,$AC$18,IF(F59&gt;$W$1,$Z$18,IF(F59=0,0,$W$18)))))))</f>
        <v>#REF!</v>
      </c>
      <c r="O60" s="181" t="e">
        <f>IF(F59="",0,IF(F59&gt;$AI$1,$AL$20,IF(F59&gt;$AF$1,$AI$20,IF(F59&gt;$AC$1,$AF$20,IF(F59&gt;$Z$1,$AC$20,IF(F59&gt;$W$1,$Z$20,IF(F59=0,0,$W$20)))))))</f>
        <v>#REF!</v>
      </c>
      <c r="P60" s="182" t="e">
        <f>IF(SUM(F62:F65)&gt;1000000,H59*0.12%,0)</f>
        <v>#REF!</v>
      </c>
      <c r="Q60" s="180" t="e">
        <f>IF(SUM(F62:F65)&gt;1000000,H59*0.095%,0)</f>
        <v>#REF!</v>
      </c>
      <c r="R60" s="183" t="e">
        <f>IF(F63&gt;3000000,2*$U$1,IF(F63&gt;100000,$U$1,0))</f>
        <v>#REF!</v>
      </c>
    </row>
    <row r="61" spans="1:18" ht="24" customHeight="1" x14ac:dyDescent="0.25">
      <c r="A61" s="191" t="s">
        <v>73</v>
      </c>
      <c r="B61" s="192" t="s">
        <v>4</v>
      </c>
      <c r="C61" s="193" t="s">
        <v>24</v>
      </c>
      <c r="D61" s="194" t="s">
        <v>8</v>
      </c>
      <c r="E61" s="237" t="s">
        <v>18</v>
      </c>
      <c r="F61" s="196" t="e">
        <f>#REF!</f>
        <v>#REF!</v>
      </c>
      <c r="G61" s="197"/>
      <c r="H61" s="198"/>
      <c r="I61" s="199"/>
      <c r="J61" s="199"/>
      <c r="K61" s="199"/>
      <c r="L61" s="199"/>
      <c r="M61" s="199"/>
      <c r="N61" s="199"/>
      <c r="O61" s="199"/>
      <c r="P61" s="199"/>
      <c r="Q61" s="199"/>
      <c r="R61" s="199"/>
    </row>
    <row r="62" spans="1:18" ht="24" customHeight="1" x14ac:dyDescent="0.25">
      <c r="A62" s="191" t="s">
        <v>1</v>
      </c>
      <c r="B62" s="192" t="s">
        <v>5</v>
      </c>
      <c r="C62" s="193" t="s">
        <v>24</v>
      </c>
      <c r="D62" s="194" t="s">
        <v>11</v>
      </c>
      <c r="E62" s="208" t="s">
        <v>8</v>
      </c>
      <c r="F62" s="196" t="e">
        <f>#REF!</f>
        <v>#REF!</v>
      </c>
      <c r="I62" s="228"/>
      <c r="J62" s="228"/>
      <c r="K62" s="228"/>
      <c r="L62" s="228"/>
      <c r="M62" s="228"/>
      <c r="N62" s="228"/>
      <c r="O62" s="228"/>
      <c r="P62" s="228"/>
      <c r="Q62" s="228"/>
      <c r="R62" s="228"/>
    </row>
    <row r="63" spans="1:18" ht="24" customHeight="1" x14ac:dyDescent="0.25">
      <c r="A63" s="191" t="s">
        <v>17</v>
      </c>
      <c r="B63" s="192" t="s">
        <v>5</v>
      </c>
      <c r="C63" s="193" t="s">
        <v>24</v>
      </c>
      <c r="D63" s="194" t="s">
        <v>12</v>
      </c>
      <c r="E63" s="208" t="s">
        <v>8</v>
      </c>
      <c r="F63" s="196" t="e">
        <f>#REF!</f>
        <v>#REF!</v>
      </c>
      <c r="I63" s="228"/>
      <c r="J63" s="228"/>
      <c r="K63" s="228"/>
      <c r="L63" s="228"/>
      <c r="M63" s="228"/>
      <c r="N63" s="228"/>
      <c r="O63" s="228"/>
      <c r="P63" s="228"/>
      <c r="Q63" s="228"/>
      <c r="R63" s="228"/>
    </row>
    <row r="64" spans="1:18" ht="24" customHeight="1" x14ac:dyDescent="0.25">
      <c r="A64" s="350" t="s">
        <v>2</v>
      </c>
      <c r="B64" s="351" t="s">
        <v>5</v>
      </c>
      <c r="C64" s="352" t="s">
        <v>24</v>
      </c>
      <c r="D64" s="353" t="s">
        <v>13</v>
      </c>
      <c r="E64" s="354" t="s">
        <v>8</v>
      </c>
      <c r="F64" s="355" t="e">
        <f>#REF!</f>
        <v>#REF!</v>
      </c>
      <c r="I64" s="228"/>
      <c r="J64" s="228"/>
      <c r="K64" s="228"/>
      <c r="L64" s="228"/>
      <c r="M64" s="228"/>
      <c r="N64" s="228"/>
      <c r="O64" s="228"/>
      <c r="P64" s="228"/>
      <c r="Q64" s="228"/>
      <c r="R64" s="228"/>
    </row>
    <row r="65" spans="1:18" ht="24" customHeight="1" thickBot="1" x14ac:dyDescent="0.3">
      <c r="A65" s="219" t="s">
        <v>215</v>
      </c>
      <c r="B65" s="220" t="s">
        <v>5</v>
      </c>
      <c r="C65" s="221" t="s">
        <v>24</v>
      </c>
      <c r="D65" s="222" t="s">
        <v>214</v>
      </c>
      <c r="E65" s="223" t="s">
        <v>8</v>
      </c>
      <c r="F65" s="224" t="e">
        <f>#REF!</f>
        <v>#REF!</v>
      </c>
      <c r="I65" s="228"/>
      <c r="J65" s="228"/>
      <c r="K65" s="228"/>
      <c r="L65" s="228"/>
      <c r="M65" s="228"/>
      <c r="N65" s="228"/>
      <c r="O65" s="228"/>
      <c r="P65" s="228"/>
      <c r="Q65" s="228"/>
      <c r="R65" s="228"/>
    </row>
    <row r="66" spans="1:18" ht="7.5" customHeight="1" thickBot="1" x14ac:dyDescent="0.3">
      <c r="I66" s="228"/>
      <c r="J66" s="228"/>
      <c r="K66" s="228"/>
      <c r="L66" s="228"/>
      <c r="M66" s="228"/>
      <c r="N66" s="228"/>
      <c r="O66" s="228"/>
      <c r="P66" s="228"/>
      <c r="Q66" s="228"/>
      <c r="R66" s="228"/>
    </row>
    <row r="67" spans="1:18" ht="20.25" customHeight="1" thickBot="1" x14ac:dyDescent="0.3">
      <c r="A67" s="143" t="s">
        <v>14</v>
      </c>
      <c r="B67" s="438" t="s">
        <v>7</v>
      </c>
      <c r="C67" s="439"/>
      <c r="D67" s="439"/>
      <c r="E67" s="439"/>
      <c r="F67" s="440"/>
      <c r="I67" s="228"/>
      <c r="J67" s="228"/>
      <c r="K67" s="228"/>
      <c r="L67" s="228"/>
      <c r="M67" s="228"/>
      <c r="N67" s="228"/>
      <c r="O67" s="228"/>
      <c r="P67" s="228"/>
      <c r="Q67" s="228"/>
      <c r="R67" s="228"/>
    </row>
    <row r="68" spans="1:18" ht="24" customHeight="1" thickTop="1" thickBot="1" x14ac:dyDescent="0.3">
      <c r="A68" s="451" t="s">
        <v>15</v>
      </c>
      <c r="B68" s="452"/>
      <c r="C68" s="452"/>
      <c r="D68" s="452"/>
      <c r="E68" s="453"/>
      <c r="F68" s="156" t="e">
        <f>IF(SUM(F70:F74)=0,"",SUM(F70:F74))</f>
        <v>#REF!</v>
      </c>
      <c r="G68" s="157" t="e">
        <f>IF(F68="",0,1)</f>
        <v>#REF!</v>
      </c>
      <c r="H68" s="231" t="e">
        <f>F68</f>
        <v>#REF!</v>
      </c>
      <c r="I68" s="232" t="s">
        <v>29</v>
      </c>
      <c r="J68" s="160" t="s">
        <v>57</v>
      </c>
      <c r="K68" s="161" t="s">
        <v>63</v>
      </c>
      <c r="L68" s="162" t="s">
        <v>56</v>
      </c>
      <c r="M68" s="163" t="s">
        <v>30</v>
      </c>
      <c r="N68" s="163" t="s">
        <v>31</v>
      </c>
      <c r="O68" s="164" t="s">
        <v>32</v>
      </c>
      <c r="P68" s="165" t="s">
        <v>34</v>
      </c>
      <c r="Q68" s="166" t="s">
        <v>35</v>
      </c>
      <c r="R68" s="167" t="s">
        <v>62</v>
      </c>
    </row>
    <row r="69" spans="1:18" ht="27.75" customHeight="1" thickTop="1" thickBot="1" x14ac:dyDescent="0.3">
      <c r="A69" s="175" t="s">
        <v>10</v>
      </c>
      <c r="B69" s="441" t="s">
        <v>3</v>
      </c>
      <c r="C69" s="442"/>
      <c r="D69" s="442"/>
      <c r="E69" s="443"/>
      <c r="F69" s="176" t="s">
        <v>6</v>
      </c>
      <c r="G69" s="234"/>
      <c r="H69" s="235"/>
      <c r="I69" s="179" t="e">
        <f>IF(F68="",0,IF(F68&gt;$AI$1,$AL$13,IF(F68&gt;$AF$1,$AI$13,IF(F68&gt;$AC$1,$AF$13,IF(F68&gt;$Z$1,$AC$13,IF(F68&gt;$W$1,$Z$13,IF(F68=0,0,$W$13)))))))</f>
        <v>#REF!</v>
      </c>
      <c r="J69" s="179" t="e">
        <f>IF(F68="",0,IF(F68&gt;$AI$1,$AL$14,IF(F68&gt;$AF$1,$AI$14,IF(F68&gt;$AC$1,$AF$14,IF(F68&gt;$Z$1,$AC$14,IF(F68&gt;$W$1,$Z$14,IF(F68=0,0,$W$14)))))))</f>
        <v>#REF!</v>
      </c>
      <c r="K69" s="179" t="e">
        <f>IF(F68="",0,IF(F68&gt;$AI$1,$AL$15,IF(F68&gt;$AF$1,$AI$15,IF(F68&gt;$AC$1,$AF$15,IF(F68&gt;$Z$1,$AC$15,IF(F68&gt;$W$1,$Z$15,IF(F68=0,0,$W$15)))))))</f>
        <v>#REF!</v>
      </c>
      <c r="L69" s="180" t="e">
        <f>IF(F68="",0,IF(F68&gt;$AI$1,$AL$16,IF(F68&gt;$AF$1,$AI$16,IF(F68&gt;$AC$1,$AF$16,IF(F68&gt;$Z$1,$AC$16,IF(F68&gt;$W$1,$Z$16,IF(F68=0,0,$W$16)))))))</f>
        <v>#REF!</v>
      </c>
      <c r="M69" s="180" t="e">
        <f>IF(F68="",0,IF(F68&gt;$AI$1,$AL$17,IF(F68&gt;$AF$1,$AI$17,IF(F68&gt;$AC$1,$AF$17,IF(F68&gt;$Z$1,$AC$17,IF(F68&gt;$W$1,$Z$17,IF(F68=0,0,$W$17)))))))</f>
        <v>#REF!</v>
      </c>
      <c r="N69" s="180" t="e">
        <f>IF(F68="",0,IF(F68&gt;$AI$1,$AL$18,IF(F68&gt;$AF$1,$AI$18,IF(F68&gt;$AC$1,$AF$18,IF(F68&gt;$Z$1,$AC$18,IF(F68&gt;$W$1,$Z$18,IF(F68=0,0,$W$18)))))))</f>
        <v>#REF!</v>
      </c>
      <c r="O69" s="181" t="e">
        <f>IF(F68="",0,IF(F68&gt;$AI$1,$AL$20,IF(F68&gt;$AF$1,$AI$20,IF(F68&gt;$AC$1,$AF$20,IF(F68&gt;$Z$1,$AC$20,IF(F68&gt;$W$1,$Z$20,IF(F68=0,0,$W$20)))))))</f>
        <v>#REF!</v>
      </c>
      <c r="P69" s="182" t="e">
        <f>IF(SUM(F71:F74)&gt;1000000,H68*0.12%,0)</f>
        <v>#REF!</v>
      </c>
      <c r="Q69" s="180" t="e">
        <f>IF(SUM(F71:F74)&gt;1000000,H68*0.095%,0)</f>
        <v>#REF!</v>
      </c>
      <c r="R69" s="183" t="e">
        <f>IF(F72&gt;3000000,2*$U$1,IF(F72&gt;100000,$U$1,0))</f>
        <v>#REF!</v>
      </c>
    </row>
    <row r="70" spans="1:18" ht="24" customHeight="1" x14ac:dyDescent="0.25">
      <c r="A70" s="191" t="s">
        <v>73</v>
      </c>
      <c r="B70" s="192" t="s">
        <v>4</v>
      </c>
      <c r="C70" s="193" t="s">
        <v>25</v>
      </c>
      <c r="D70" s="194" t="s">
        <v>8</v>
      </c>
      <c r="E70" s="237" t="s">
        <v>18</v>
      </c>
      <c r="F70" s="196" t="e">
        <f>#REF!</f>
        <v>#REF!</v>
      </c>
      <c r="G70" s="197"/>
      <c r="H70" s="198"/>
      <c r="I70" s="199"/>
      <c r="J70" s="199"/>
      <c r="K70" s="199"/>
      <c r="L70" s="199"/>
      <c r="M70" s="199"/>
      <c r="N70" s="199"/>
      <c r="O70" s="199"/>
      <c r="P70" s="199"/>
      <c r="Q70" s="199"/>
      <c r="R70" s="199"/>
    </row>
    <row r="71" spans="1:18" ht="24" customHeight="1" x14ac:dyDescent="0.25">
      <c r="A71" s="191" t="s">
        <v>1</v>
      </c>
      <c r="B71" s="192" t="s">
        <v>5</v>
      </c>
      <c r="C71" s="193" t="s">
        <v>25</v>
      </c>
      <c r="D71" s="194" t="s">
        <v>11</v>
      </c>
      <c r="E71" s="208" t="s">
        <v>8</v>
      </c>
      <c r="F71" s="196" t="e">
        <f>#REF!</f>
        <v>#REF!</v>
      </c>
      <c r="I71" s="228"/>
      <c r="J71" s="228"/>
      <c r="K71" s="228"/>
      <c r="L71" s="228"/>
      <c r="M71" s="228"/>
      <c r="N71" s="228"/>
      <c r="O71" s="228"/>
      <c r="P71" s="228"/>
      <c r="Q71" s="228"/>
      <c r="R71" s="228"/>
    </row>
    <row r="72" spans="1:18" ht="24" customHeight="1" x14ac:dyDescent="0.25">
      <c r="A72" s="191" t="s">
        <v>17</v>
      </c>
      <c r="B72" s="192" t="s">
        <v>5</v>
      </c>
      <c r="C72" s="193" t="s">
        <v>25</v>
      </c>
      <c r="D72" s="194" t="s">
        <v>12</v>
      </c>
      <c r="E72" s="208" t="s">
        <v>8</v>
      </c>
      <c r="F72" s="196" t="e">
        <f>#REF!</f>
        <v>#REF!</v>
      </c>
      <c r="I72" s="228"/>
      <c r="J72" s="228"/>
      <c r="K72" s="228"/>
      <c r="L72" s="228"/>
      <c r="M72" s="228"/>
      <c r="N72" s="228"/>
      <c r="O72" s="228"/>
      <c r="P72" s="228"/>
      <c r="Q72" s="228"/>
      <c r="R72" s="228"/>
    </row>
    <row r="73" spans="1:18" ht="24" customHeight="1" x14ac:dyDescent="0.25">
      <c r="A73" s="350" t="s">
        <v>2</v>
      </c>
      <c r="B73" s="351" t="s">
        <v>5</v>
      </c>
      <c r="C73" s="352" t="s">
        <v>25</v>
      </c>
      <c r="D73" s="353" t="s">
        <v>13</v>
      </c>
      <c r="E73" s="354" t="s">
        <v>8</v>
      </c>
      <c r="F73" s="355" t="e">
        <f>#REF!</f>
        <v>#REF!</v>
      </c>
      <c r="I73" s="228"/>
      <c r="J73" s="228"/>
      <c r="K73" s="228"/>
      <c r="L73" s="228"/>
      <c r="M73" s="228"/>
      <c r="N73" s="228"/>
      <c r="O73" s="228"/>
      <c r="P73" s="228"/>
      <c r="Q73" s="228"/>
      <c r="R73" s="228"/>
    </row>
    <row r="74" spans="1:18" ht="24" customHeight="1" thickBot="1" x14ac:dyDescent="0.3">
      <c r="A74" s="219" t="s">
        <v>215</v>
      </c>
      <c r="B74" s="220" t="s">
        <v>5</v>
      </c>
      <c r="C74" s="221" t="s">
        <v>25</v>
      </c>
      <c r="D74" s="222" t="s">
        <v>214</v>
      </c>
      <c r="E74" s="223" t="s">
        <v>8</v>
      </c>
      <c r="F74" s="224" t="e">
        <f>#REF!</f>
        <v>#REF!</v>
      </c>
      <c r="I74" s="228"/>
      <c r="J74" s="228"/>
      <c r="K74" s="228"/>
      <c r="L74" s="228"/>
      <c r="M74" s="228"/>
      <c r="N74" s="228"/>
      <c r="O74" s="228"/>
      <c r="P74" s="228"/>
      <c r="Q74" s="228"/>
      <c r="R74" s="228"/>
    </row>
    <row r="75" spans="1:18" ht="7.5" customHeight="1" thickBot="1" x14ac:dyDescent="0.3">
      <c r="I75" s="228"/>
      <c r="J75" s="228"/>
      <c r="K75" s="228"/>
      <c r="L75" s="228"/>
      <c r="M75" s="228"/>
      <c r="N75" s="228"/>
      <c r="O75" s="228"/>
      <c r="P75" s="228"/>
      <c r="Q75" s="228"/>
      <c r="R75" s="228"/>
    </row>
    <row r="76" spans="1:18" ht="20.25" customHeight="1" thickBot="1" x14ac:dyDescent="0.3">
      <c r="A76" s="143" t="s">
        <v>14</v>
      </c>
      <c r="B76" s="438" t="s">
        <v>7</v>
      </c>
      <c r="C76" s="439"/>
      <c r="D76" s="439"/>
      <c r="E76" s="439"/>
      <c r="F76" s="440"/>
      <c r="I76" s="228"/>
      <c r="J76" s="228"/>
      <c r="K76" s="228"/>
      <c r="L76" s="228"/>
      <c r="M76" s="228"/>
      <c r="N76" s="228"/>
      <c r="O76" s="228"/>
      <c r="P76" s="228"/>
      <c r="Q76" s="228"/>
      <c r="R76" s="228"/>
    </row>
    <row r="77" spans="1:18" ht="24" customHeight="1" thickTop="1" thickBot="1" x14ac:dyDescent="0.3">
      <c r="A77" s="444" t="s">
        <v>15</v>
      </c>
      <c r="B77" s="445"/>
      <c r="C77" s="445"/>
      <c r="D77" s="445"/>
      <c r="E77" s="446"/>
      <c r="F77" s="156" t="str">
        <f>IF(SUM(F79:F83)=0,"",SUM(F79:F83))</f>
        <v/>
      </c>
      <c r="G77" s="157">
        <f>IF(F77="",0,1)</f>
        <v>0</v>
      </c>
      <c r="H77" s="231" t="str">
        <f>F77</f>
        <v/>
      </c>
      <c r="I77" s="232" t="s">
        <v>29</v>
      </c>
      <c r="J77" s="160" t="s">
        <v>57</v>
      </c>
      <c r="K77" s="161" t="s">
        <v>63</v>
      </c>
      <c r="L77" s="162" t="s">
        <v>56</v>
      </c>
      <c r="M77" s="163" t="s">
        <v>30</v>
      </c>
      <c r="N77" s="163" t="s">
        <v>31</v>
      </c>
      <c r="O77" s="164" t="s">
        <v>32</v>
      </c>
      <c r="P77" s="165" t="s">
        <v>34</v>
      </c>
      <c r="Q77" s="166" t="s">
        <v>35</v>
      </c>
      <c r="R77" s="167" t="s">
        <v>62</v>
      </c>
    </row>
    <row r="78" spans="1:18" ht="27.75" customHeight="1" thickTop="1" thickBot="1" x14ac:dyDescent="0.3">
      <c r="A78" s="175" t="s">
        <v>10</v>
      </c>
      <c r="B78" s="436" t="s">
        <v>3</v>
      </c>
      <c r="C78" s="437"/>
      <c r="D78" s="437"/>
      <c r="E78" s="437"/>
      <c r="F78" s="176" t="s">
        <v>6</v>
      </c>
      <c r="G78" s="234"/>
      <c r="H78" s="235"/>
      <c r="I78" s="179">
        <f>IF(F77="",0,IF(F77&gt;$AI$1,$AL$13,IF(F77&gt;$AF$1,$AI$13,IF(F77&gt;$AC$1,$AF$13,IF(F77&gt;$Z$1,$AC$13,IF(F77&gt;$W$1,$Z$13,IF(F77=0,0,$W$13)))))))</f>
        <v>0</v>
      </c>
      <c r="J78" s="179">
        <f>IF(F77="",0,IF(F77&gt;$AI$1,$AL$14,IF(F77&gt;$AF$1,$AI$14,IF(F77&gt;$AC$1,$AF$14,IF(F77&gt;$Z$1,$AC$14,IF(F77&gt;$W$1,$Z$14,IF(F77=0,0,$W$14)))))))</f>
        <v>0</v>
      </c>
      <c r="K78" s="179">
        <f>IF(F77="",0,IF(F77&gt;$AI$1,$AL$15,IF(F77&gt;$AF$1,$AI$15,IF(F77&gt;$AC$1,$AF$15,IF(F77&gt;$Z$1,$AC$15,IF(F77&gt;$W$1,$Z$15,IF(F77=0,0,$W$15)))))))</f>
        <v>0</v>
      </c>
      <c r="L78" s="180">
        <f>IF(F77="",0,IF(F77&gt;$AI$1,$AL$16,IF(F77&gt;$AF$1,$AI$16,IF(F77&gt;$AC$1,$AF$16,IF(F77&gt;$Z$1,$AC$16,IF(F77&gt;$W$1,$Z$16,IF(F77=0,0,$W$16)))))))</f>
        <v>0</v>
      </c>
      <c r="M78" s="180">
        <f>IF(F77="",0,IF(F77&gt;$AI$1,$AL$17,IF(F77&gt;$AF$1,$AI$17,IF(F77&gt;$AC$1,$AF$17,IF(F77&gt;$Z$1,$AC$17,IF(F77&gt;$W$1,$Z$17,IF(F77=0,0,$W$17)))))))</f>
        <v>0</v>
      </c>
      <c r="N78" s="180">
        <f>IF(F77="",0,IF(F77&gt;$AI$1,$AL$18,IF(F77&gt;$AF$1,$AI$18,IF(F77&gt;$AC$1,$AF$18,IF(F77&gt;$Z$1,$AC$18,IF(F77&gt;$W$1,$Z$18,IF(F77=0,0,$W$18)))))))</f>
        <v>0</v>
      </c>
      <c r="O78" s="181">
        <f>IF(F77="",0,IF(F77&gt;$AI$1,$AL$20,IF(F77&gt;$AF$1,$AI$20,IF(F77&gt;$AC$1,$AF$20,IF(F77&gt;$Z$1,$AC$20,IF(F77&gt;$W$1,$Z$20,IF(F77=0,0,$W$20)))))))</f>
        <v>0</v>
      </c>
      <c r="P78" s="182">
        <f>IF(SUM(F80:F83)&gt;1000000,H77*0.12%,0)</f>
        <v>0</v>
      </c>
      <c r="Q78" s="180">
        <f>IF(SUM(F80:F83)&gt;1000000,H77*0.095%,0)</f>
        <v>0</v>
      </c>
      <c r="R78" s="183">
        <f>IF(F81&gt;3000000,2*$U$1,IF(F81&gt;100000,$U$1,0))</f>
        <v>0</v>
      </c>
    </row>
    <row r="79" spans="1:18" ht="24" customHeight="1" x14ac:dyDescent="0.25">
      <c r="A79" s="191" t="s">
        <v>73</v>
      </c>
      <c r="B79" s="192" t="s">
        <v>4</v>
      </c>
      <c r="C79" s="193" t="s">
        <v>26</v>
      </c>
      <c r="D79" s="194" t="s">
        <v>8</v>
      </c>
      <c r="E79" s="237" t="s">
        <v>18</v>
      </c>
      <c r="F79" s="196"/>
      <c r="G79" s="197"/>
      <c r="H79" s="198"/>
      <c r="I79" s="199"/>
      <c r="J79" s="199"/>
      <c r="K79" s="199"/>
      <c r="L79" s="199"/>
      <c r="M79" s="199"/>
      <c r="N79" s="199"/>
      <c r="O79" s="199"/>
      <c r="P79" s="199"/>
      <c r="Q79" s="199"/>
      <c r="R79" s="199"/>
    </row>
    <row r="80" spans="1:18" ht="24" customHeight="1" x14ac:dyDescent="0.25">
      <c r="A80" s="191" t="s">
        <v>1</v>
      </c>
      <c r="B80" s="192" t="s">
        <v>5</v>
      </c>
      <c r="C80" s="193" t="s">
        <v>26</v>
      </c>
      <c r="D80" s="194" t="s">
        <v>11</v>
      </c>
      <c r="E80" s="208" t="s">
        <v>8</v>
      </c>
      <c r="F80" s="196"/>
      <c r="I80" s="228"/>
      <c r="J80" s="228"/>
      <c r="K80" s="228"/>
      <c r="L80" s="228"/>
      <c r="M80" s="228"/>
      <c r="N80" s="228"/>
      <c r="O80" s="228"/>
      <c r="P80" s="228"/>
      <c r="Q80" s="228"/>
      <c r="R80" s="228"/>
    </row>
    <row r="81" spans="1:18" ht="24" customHeight="1" x14ac:dyDescent="0.25">
      <c r="A81" s="191" t="s">
        <v>17</v>
      </c>
      <c r="B81" s="192" t="s">
        <v>5</v>
      </c>
      <c r="C81" s="193" t="s">
        <v>26</v>
      </c>
      <c r="D81" s="194" t="s">
        <v>12</v>
      </c>
      <c r="E81" s="208" t="s">
        <v>8</v>
      </c>
      <c r="F81" s="196"/>
      <c r="I81" s="228"/>
      <c r="J81" s="228"/>
      <c r="K81" s="228"/>
      <c r="L81" s="228"/>
      <c r="M81" s="228"/>
      <c r="N81" s="228"/>
      <c r="O81" s="228"/>
      <c r="P81" s="228"/>
      <c r="Q81" s="228"/>
      <c r="R81" s="228"/>
    </row>
    <row r="82" spans="1:18" ht="24" customHeight="1" x14ac:dyDescent="0.25">
      <c r="A82" s="350" t="s">
        <v>2</v>
      </c>
      <c r="B82" s="351" t="s">
        <v>5</v>
      </c>
      <c r="C82" s="352" t="s">
        <v>26</v>
      </c>
      <c r="D82" s="353" t="s">
        <v>13</v>
      </c>
      <c r="E82" s="354" t="s">
        <v>8</v>
      </c>
      <c r="F82" s="355"/>
      <c r="I82" s="228"/>
      <c r="J82" s="228"/>
      <c r="K82" s="228"/>
      <c r="L82" s="228"/>
      <c r="M82" s="228"/>
      <c r="N82" s="228"/>
      <c r="O82" s="228"/>
      <c r="P82" s="228"/>
      <c r="Q82" s="228"/>
      <c r="R82" s="228"/>
    </row>
    <row r="83" spans="1:18" ht="24" customHeight="1" thickBot="1" x14ac:dyDescent="0.3">
      <c r="A83" s="219" t="s">
        <v>215</v>
      </c>
      <c r="B83" s="220" t="s">
        <v>5</v>
      </c>
      <c r="C83" s="221" t="s">
        <v>26</v>
      </c>
      <c r="D83" s="222" t="s">
        <v>214</v>
      </c>
      <c r="E83" s="223" t="s">
        <v>8</v>
      </c>
      <c r="F83" s="224"/>
      <c r="I83" s="228"/>
      <c r="J83" s="228"/>
      <c r="K83" s="228"/>
      <c r="L83" s="228"/>
      <c r="M83" s="228"/>
      <c r="N83" s="228"/>
      <c r="O83" s="228"/>
      <c r="P83" s="228"/>
      <c r="Q83" s="228"/>
      <c r="R83" s="228"/>
    </row>
    <row r="84" spans="1:18" ht="7.5" customHeight="1" thickBot="1" x14ac:dyDescent="0.3">
      <c r="I84" s="228"/>
      <c r="J84" s="228"/>
      <c r="K84" s="228"/>
      <c r="L84" s="228"/>
      <c r="M84" s="228"/>
      <c r="N84" s="228"/>
      <c r="O84" s="228"/>
      <c r="P84" s="228"/>
      <c r="Q84" s="228"/>
      <c r="R84" s="228"/>
    </row>
    <row r="85" spans="1:18" ht="20.25" customHeight="1" thickBot="1" x14ac:dyDescent="0.3">
      <c r="A85" s="143" t="s">
        <v>14</v>
      </c>
      <c r="B85" s="438" t="s">
        <v>7</v>
      </c>
      <c r="C85" s="439"/>
      <c r="D85" s="439"/>
      <c r="E85" s="439"/>
      <c r="F85" s="440"/>
      <c r="I85" s="228"/>
      <c r="J85" s="228"/>
      <c r="K85" s="228"/>
      <c r="L85" s="228"/>
      <c r="M85" s="228"/>
      <c r="N85" s="228"/>
      <c r="O85" s="228"/>
      <c r="P85" s="228"/>
      <c r="Q85" s="228"/>
      <c r="R85" s="228"/>
    </row>
    <row r="86" spans="1:18" ht="24" customHeight="1" thickTop="1" thickBot="1" x14ac:dyDescent="0.3">
      <c r="A86" s="444" t="s">
        <v>15</v>
      </c>
      <c r="B86" s="445"/>
      <c r="C86" s="445"/>
      <c r="D86" s="445"/>
      <c r="E86" s="446"/>
      <c r="F86" s="156" t="str">
        <f>IF(SUM(F88:F92)=0,"",SUM(F88:F92))</f>
        <v/>
      </c>
      <c r="G86" s="157">
        <f>IF(F86="",0,1)</f>
        <v>0</v>
      </c>
      <c r="H86" s="231" t="str">
        <f>F86</f>
        <v/>
      </c>
      <c r="I86" s="232" t="s">
        <v>29</v>
      </c>
      <c r="J86" s="160" t="s">
        <v>57</v>
      </c>
      <c r="K86" s="161" t="s">
        <v>63</v>
      </c>
      <c r="L86" s="162" t="s">
        <v>56</v>
      </c>
      <c r="M86" s="163" t="s">
        <v>30</v>
      </c>
      <c r="N86" s="163" t="s">
        <v>31</v>
      </c>
      <c r="O86" s="164" t="s">
        <v>32</v>
      </c>
      <c r="P86" s="165" t="s">
        <v>34</v>
      </c>
      <c r="Q86" s="166" t="s">
        <v>35</v>
      </c>
      <c r="R86" s="167" t="s">
        <v>62</v>
      </c>
    </row>
    <row r="87" spans="1:18" ht="27.75" customHeight="1" thickTop="1" thickBot="1" x14ac:dyDescent="0.3">
      <c r="A87" s="175" t="s">
        <v>10</v>
      </c>
      <c r="B87" s="436" t="s">
        <v>3</v>
      </c>
      <c r="C87" s="437"/>
      <c r="D87" s="437"/>
      <c r="E87" s="437"/>
      <c r="F87" s="176" t="s">
        <v>6</v>
      </c>
      <c r="G87" s="234"/>
      <c r="H87" s="235"/>
      <c r="I87" s="179">
        <f>IF(F86="",0,IF(F86&gt;$AI$1,$AL$13,IF(F86&gt;$AF$1,$AI$13,IF(F86&gt;$AC$1,$AF$13,IF(F86&gt;$Z$1,$AC$13,IF(F86&gt;$W$1,$Z$13,IF(F86=0,0,$W$13)))))))</f>
        <v>0</v>
      </c>
      <c r="J87" s="179">
        <f>IF(F86="",0,IF(F86&gt;$AI$1,$AL$14,IF(F86&gt;$AF$1,$AI$14,IF(F86&gt;$AC$1,$AF$14,IF(F86&gt;$Z$1,$AC$14,IF(F86&gt;$W$1,$Z$14,IF(F86=0,0,$W$14)))))))</f>
        <v>0</v>
      </c>
      <c r="K87" s="179">
        <f>IF(F86="",0,IF(F86&gt;$AI$1,$AL$15,IF(F86&gt;$AF$1,$AI$15,IF(F86&gt;$AC$1,$AF$15,IF(F86&gt;$Z$1,$AC$15,IF(F86&gt;$W$1,$Z$15,IF(F86=0,0,$W$15)))))))</f>
        <v>0</v>
      </c>
      <c r="L87" s="180">
        <f>IF(F86="",0,IF(F86&gt;$AI$1,$AL$16,IF(F86&gt;$AF$1,$AI$16,IF(F86&gt;$AC$1,$AF$16,IF(F86&gt;$Z$1,$AC$16,IF(F86&gt;$W$1,$Z$16,IF(F86=0,0,$W$16)))))))</f>
        <v>0</v>
      </c>
      <c r="M87" s="180">
        <f>IF(F86="",0,IF(F86&gt;$AI$1,$AL$17,IF(F86&gt;$AF$1,$AI$17,IF(F86&gt;$AC$1,$AF$17,IF(F86&gt;$Z$1,$AC$17,IF(F86&gt;$W$1,$Z$17,IF(F86=0,0,$W$17)))))))</f>
        <v>0</v>
      </c>
      <c r="N87" s="180">
        <f>IF(F86="",0,IF(F86&gt;$AI$1,$AL$18,IF(F86&gt;$AF$1,$AI$18,IF(F86&gt;$AC$1,$AF$18,IF(F86&gt;$Z$1,$AC$18,IF(F86&gt;$W$1,$Z$18,IF(F86=0,0,$W$18)))))))</f>
        <v>0</v>
      </c>
      <c r="O87" s="181">
        <f>IF(F86="",0,IF(F86&gt;$AI$1,$AL$20,IF(F86&gt;$AF$1,$AI$20,IF(F86&gt;$AC$1,$AF$20,IF(F86&gt;$Z$1,$AC$20,IF(F86&gt;$W$1,$Z$20,IF(F86=0,0,$W$20)))))))</f>
        <v>0</v>
      </c>
      <c r="P87" s="182">
        <f>IF(SUM(F89:F92)&gt;1000000,H86*0.12%,0)</f>
        <v>0</v>
      </c>
      <c r="Q87" s="180">
        <f>IF(SUM(F89:F92)&gt;1000000,H86*0.095%,0)</f>
        <v>0</v>
      </c>
      <c r="R87" s="183">
        <f>IF(F90&gt;3000000,2*$U$1,IF(F90&gt;100000,$U$1,0))</f>
        <v>0</v>
      </c>
    </row>
    <row r="88" spans="1:18" ht="24" customHeight="1" x14ac:dyDescent="0.25">
      <c r="A88" s="191" t="s">
        <v>73</v>
      </c>
      <c r="B88" s="192" t="s">
        <v>4</v>
      </c>
      <c r="C88" s="193" t="s">
        <v>11</v>
      </c>
      <c r="D88" s="194" t="s">
        <v>8</v>
      </c>
      <c r="E88" s="237" t="s">
        <v>18</v>
      </c>
      <c r="F88" s="196"/>
      <c r="G88" s="197"/>
      <c r="H88" s="198"/>
      <c r="I88" s="199"/>
      <c r="J88" s="199"/>
      <c r="K88" s="199"/>
      <c r="L88" s="199"/>
      <c r="M88" s="199"/>
      <c r="N88" s="199"/>
      <c r="O88" s="199"/>
      <c r="P88" s="199"/>
      <c r="Q88" s="199"/>
      <c r="R88" s="199"/>
    </row>
    <row r="89" spans="1:18" ht="24" customHeight="1" x14ac:dyDescent="0.25">
      <c r="A89" s="191" t="s">
        <v>1</v>
      </c>
      <c r="B89" s="192" t="s">
        <v>5</v>
      </c>
      <c r="C89" s="193" t="s">
        <v>11</v>
      </c>
      <c r="D89" s="194" t="s">
        <v>11</v>
      </c>
      <c r="E89" s="208" t="s">
        <v>8</v>
      </c>
      <c r="F89" s="196"/>
      <c r="I89" s="228"/>
      <c r="J89" s="228"/>
      <c r="K89" s="228"/>
      <c r="L89" s="228"/>
      <c r="M89" s="228"/>
      <c r="N89" s="228"/>
      <c r="O89" s="228"/>
      <c r="P89" s="228"/>
      <c r="Q89" s="228"/>
      <c r="R89" s="228"/>
    </row>
    <row r="90" spans="1:18" ht="24" customHeight="1" x14ac:dyDescent="0.25">
      <c r="A90" s="191" t="s">
        <v>17</v>
      </c>
      <c r="B90" s="192" t="s">
        <v>5</v>
      </c>
      <c r="C90" s="193" t="s">
        <v>11</v>
      </c>
      <c r="D90" s="194" t="s">
        <v>12</v>
      </c>
      <c r="E90" s="208" t="s">
        <v>8</v>
      </c>
      <c r="F90" s="196"/>
      <c r="I90" s="228"/>
      <c r="J90" s="228"/>
      <c r="K90" s="228"/>
      <c r="L90" s="228"/>
      <c r="M90" s="228"/>
      <c r="N90" s="228"/>
      <c r="O90" s="228"/>
      <c r="P90" s="228"/>
      <c r="Q90" s="228"/>
      <c r="R90" s="228"/>
    </row>
    <row r="91" spans="1:18" ht="24" customHeight="1" x14ac:dyDescent="0.25">
      <c r="A91" s="350" t="s">
        <v>2</v>
      </c>
      <c r="B91" s="351" t="s">
        <v>5</v>
      </c>
      <c r="C91" s="352" t="s">
        <v>11</v>
      </c>
      <c r="D91" s="353" t="s">
        <v>13</v>
      </c>
      <c r="E91" s="354" t="s">
        <v>8</v>
      </c>
      <c r="F91" s="355"/>
      <c r="I91" s="228"/>
      <c r="J91" s="228"/>
      <c r="K91" s="228"/>
      <c r="L91" s="228"/>
      <c r="M91" s="228"/>
      <c r="N91" s="228"/>
      <c r="O91" s="228"/>
      <c r="P91" s="228"/>
      <c r="Q91" s="228"/>
      <c r="R91" s="228"/>
    </row>
    <row r="92" spans="1:18" ht="24" customHeight="1" thickBot="1" x14ac:dyDescent="0.3">
      <c r="A92" s="219" t="s">
        <v>215</v>
      </c>
      <c r="B92" s="220" t="s">
        <v>5</v>
      </c>
      <c r="C92" s="221" t="s">
        <v>11</v>
      </c>
      <c r="D92" s="222" t="s">
        <v>214</v>
      </c>
      <c r="E92" s="223" t="s">
        <v>8</v>
      </c>
      <c r="F92" s="224"/>
      <c r="I92" s="228"/>
      <c r="J92" s="228"/>
      <c r="K92" s="228"/>
      <c r="L92" s="228"/>
      <c r="M92" s="228"/>
      <c r="N92" s="228"/>
      <c r="O92" s="228"/>
      <c r="P92" s="228"/>
      <c r="Q92" s="228"/>
      <c r="R92" s="228"/>
    </row>
    <row r="93" spans="1:18" ht="7.5" customHeight="1" x14ac:dyDescent="0.25"/>
  </sheetData>
  <mergeCells count="40">
    <mergeCell ref="A1:E1"/>
    <mergeCell ref="A2:E2"/>
    <mergeCell ref="A5:E5"/>
    <mergeCell ref="B13:F13"/>
    <mergeCell ref="AL1:AN1"/>
    <mergeCell ref="W1:Y1"/>
    <mergeCell ref="Z1:AB1"/>
    <mergeCell ref="AC1:AE1"/>
    <mergeCell ref="AF1:AH1"/>
    <mergeCell ref="AI1:AK1"/>
    <mergeCell ref="B33:E33"/>
    <mergeCell ref="B40:F40"/>
    <mergeCell ref="A41:E41"/>
    <mergeCell ref="B6:E6"/>
    <mergeCell ref="B4:F4"/>
    <mergeCell ref="A14:E14"/>
    <mergeCell ref="B15:E15"/>
    <mergeCell ref="B22:F22"/>
    <mergeCell ref="A23:E23"/>
    <mergeCell ref="B87:E87"/>
    <mergeCell ref="G1:R1"/>
    <mergeCell ref="G3:H3"/>
    <mergeCell ref="A68:E68"/>
    <mergeCell ref="B69:E69"/>
    <mergeCell ref="B76:F76"/>
    <mergeCell ref="A77:E77"/>
    <mergeCell ref="B42:E42"/>
    <mergeCell ref="B49:F49"/>
    <mergeCell ref="A50:E50"/>
    <mergeCell ref="B51:E51"/>
    <mergeCell ref="B58:F58"/>
    <mergeCell ref="A59:E59"/>
    <mergeCell ref="B24:E24"/>
    <mergeCell ref="B31:F31"/>
    <mergeCell ref="A32:E32"/>
    <mergeCell ref="B78:E78"/>
    <mergeCell ref="B85:F85"/>
    <mergeCell ref="B60:E60"/>
    <mergeCell ref="B67:F67"/>
    <mergeCell ref="A86:E86"/>
  </mergeCells>
  <conditionalFormatting sqref="B4:F4 B13:F13 B22:F22 B31:F31 B40:F40 B49:F49 B58:F58 B67:F67 B76:F76 B85:F85">
    <cfRule type="expression" dxfId="98" priority="245" stopIfTrue="1">
      <formula>$B$4="Železniční přejezd v km …"</formula>
    </cfRule>
  </conditionalFormatting>
  <conditionalFormatting sqref="F7">
    <cfRule type="expression" dxfId="97" priority="244" stopIfTrue="1">
      <formula>$F7=0</formula>
    </cfRule>
  </conditionalFormatting>
  <conditionalFormatting sqref="F8">
    <cfRule type="expression" dxfId="96" priority="243" stopIfTrue="1">
      <formula>$F8=0</formula>
    </cfRule>
  </conditionalFormatting>
  <conditionalFormatting sqref="F9:F10">
    <cfRule type="expression" dxfId="95" priority="242" stopIfTrue="1">
      <formula>$F9=0</formula>
    </cfRule>
  </conditionalFormatting>
  <conditionalFormatting sqref="F11">
    <cfRule type="expression" dxfId="94" priority="241" stopIfTrue="1">
      <formula>$F11=0</formula>
    </cfRule>
  </conditionalFormatting>
  <conditionalFormatting sqref="C7 C16 C25 C34 C43 C52 C61 C70 C79 C88">
    <cfRule type="expression" dxfId="93" priority="240" stopIfTrue="1">
      <formula>$C$7="XX"</formula>
    </cfRule>
  </conditionalFormatting>
  <conditionalFormatting sqref="C17 C26 C35 C44 C53 C62 C71 C80 C89">
    <cfRule type="expression" dxfId="92" priority="239" stopIfTrue="1">
      <formula>$C$8="XX"</formula>
    </cfRule>
  </conditionalFormatting>
  <conditionalFormatting sqref="C9:C10 C18:C19 C27:C28 C36:C37 C45:C46 C54:C55 C63:C64 C72:C73 C81:C82 C90:C91">
    <cfRule type="expression" dxfId="91" priority="238" stopIfTrue="1">
      <formula>$C$9="XX"</formula>
    </cfRule>
  </conditionalFormatting>
  <conditionalFormatting sqref="C11 C20 C29 C38 C47 C56 C65 C74 C83 C92">
    <cfRule type="expression" dxfId="90" priority="237" stopIfTrue="1">
      <formula>$C$11="XX"</formula>
    </cfRule>
  </conditionalFormatting>
  <conditionalFormatting sqref="F43">
    <cfRule type="expression" dxfId="89" priority="31" stopIfTrue="1">
      <formula>$F43=0</formula>
    </cfRule>
  </conditionalFormatting>
  <conditionalFormatting sqref="F53">
    <cfRule type="expression" dxfId="88" priority="26" stopIfTrue="1">
      <formula>$F53=0</formula>
    </cfRule>
  </conditionalFormatting>
  <conditionalFormatting sqref="F61">
    <cfRule type="expression" dxfId="87" priority="23" stopIfTrue="1">
      <formula>$F61=0</formula>
    </cfRule>
  </conditionalFormatting>
  <conditionalFormatting sqref="F62">
    <cfRule type="expression" dxfId="86" priority="22" stopIfTrue="1">
      <formula>$F62=0</formula>
    </cfRule>
  </conditionalFormatting>
  <conditionalFormatting sqref="F54:F55">
    <cfRule type="expression" dxfId="85" priority="25" stopIfTrue="1">
      <formula>$F54=0</formula>
    </cfRule>
  </conditionalFormatting>
  <conditionalFormatting sqref="F56">
    <cfRule type="expression" dxfId="84" priority="24" stopIfTrue="1">
      <formula>$F56=0</formula>
    </cfRule>
  </conditionalFormatting>
  <conditionalFormatting sqref="F52">
    <cfRule type="expression" dxfId="83" priority="27" stopIfTrue="1">
      <formula>$F52=0</formula>
    </cfRule>
  </conditionalFormatting>
  <conditionalFormatting sqref="F27:F28">
    <cfRule type="expression" dxfId="82" priority="37" stopIfTrue="1">
      <formula>$F27=0</formula>
    </cfRule>
  </conditionalFormatting>
  <conditionalFormatting sqref="F29">
    <cfRule type="expression" dxfId="81" priority="36" stopIfTrue="1">
      <formula>$F29=0</formula>
    </cfRule>
  </conditionalFormatting>
  <conditionalFormatting sqref="F25">
    <cfRule type="expression" dxfId="80" priority="39" stopIfTrue="1">
      <formula>$F25=0</formula>
    </cfRule>
  </conditionalFormatting>
  <conditionalFormatting sqref="F26">
    <cfRule type="expression" dxfId="79" priority="38" stopIfTrue="1">
      <formula>$F26=0</formula>
    </cfRule>
  </conditionalFormatting>
  <conditionalFormatting sqref="F18:F19">
    <cfRule type="expression" dxfId="78" priority="41" stopIfTrue="1">
      <formula>$F18=0</formula>
    </cfRule>
  </conditionalFormatting>
  <conditionalFormatting sqref="F20">
    <cfRule type="expression" dxfId="77" priority="40" stopIfTrue="1">
      <formula>$F20=0</formula>
    </cfRule>
  </conditionalFormatting>
  <conditionalFormatting sqref="F16">
    <cfRule type="expression" dxfId="76" priority="43" stopIfTrue="1">
      <formula>$F16=0</formula>
    </cfRule>
  </conditionalFormatting>
  <conditionalFormatting sqref="F17">
    <cfRule type="expression" dxfId="75" priority="42" stopIfTrue="1">
      <formula>$F17=0</formula>
    </cfRule>
  </conditionalFormatting>
  <conditionalFormatting sqref="F63:F64">
    <cfRule type="expression" dxfId="74" priority="21" stopIfTrue="1">
      <formula>$F63=0</formula>
    </cfRule>
  </conditionalFormatting>
  <conditionalFormatting sqref="F65">
    <cfRule type="expression" dxfId="73" priority="20" stopIfTrue="1">
      <formula>$F65=0</formula>
    </cfRule>
  </conditionalFormatting>
  <conditionalFormatting sqref="F70">
    <cfRule type="expression" dxfId="72" priority="19" stopIfTrue="1">
      <formula>$F70=0</formula>
    </cfRule>
  </conditionalFormatting>
  <conditionalFormatting sqref="F71">
    <cfRule type="expression" dxfId="71" priority="18" stopIfTrue="1">
      <formula>$F71=0</formula>
    </cfRule>
  </conditionalFormatting>
  <conditionalFormatting sqref="F72:F73">
    <cfRule type="expression" dxfId="70" priority="17" stopIfTrue="1">
      <formula>$F72=0</formula>
    </cfRule>
  </conditionalFormatting>
  <conditionalFormatting sqref="F74">
    <cfRule type="expression" dxfId="69" priority="16" stopIfTrue="1">
      <formula>$F74=0</formula>
    </cfRule>
  </conditionalFormatting>
  <conditionalFormatting sqref="F79">
    <cfRule type="expression" dxfId="68" priority="15" stopIfTrue="1">
      <formula>$F79=0</formula>
    </cfRule>
  </conditionalFormatting>
  <conditionalFormatting sqref="F80">
    <cfRule type="expression" dxfId="67" priority="14" stopIfTrue="1">
      <formula>$F80=0</formula>
    </cfRule>
  </conditionalFormatting>
  <conditionalFormatting sqref="F81:F82">
    <cfRule type="expression" dxfId="66" priority="13" stopIfTrue="1">
      <formula>$F81=0</formula>
    </cfRule>
  </conditionalFormatting>
  <conditionalFormatting sqref="F83">
    <cfRule type="expression" dxfId="65" priority="12" stopIfTrue="1">
      <formula>$F83=0</formula>
    </cfRule>
  </conditionalFormatting>
  <conditionalFormatting sqref="F88">
    <cfRule type="expression" dxfId="64" priority="11" stopIfTrue="1">
      <formula>$F88=0</formula>
    </cfRule>
  </conditionalFormatting>
  <conditionalFormatting sqref="F89">
    <cfRule type="expression" dxfId="63" priority="10" stopIfTrue="1">
      <formula>$F89=0</formula>
    </cfRule>
  </conditionalFormatting>
  <conditionalFormatting sqref="F90:F91">
    <cfRule type="expression" dxfId="62" priority="9" stopIfTrue="1">
      <formula>$F90=0</formula>
    </cfRule>
  </conditionalFormatting>
  <conditionalFormatting sqref="F92">
    <cfRule type="expression" dxfId="61" priority="8" stopIfTrue="1">
      <formula>$F92=0</formula>
    </cfRule>
  </conditionalFormatting>
  <conditionalFormatting sqref="F36:F37">
    <cfRule type="expression" dxfId="60" priority="5" stopIfTrue="1">
      <formula>$F36=0</formula>
    </cfRule>
  </conditionalFormatting>
  <conditionalFormatting sqref="F38">
    <cfRule type="expression" dxfId="59" priority="4" stopIfTrue="1">
      <formula>$F38=0</formula>
    </cfRule>
  </conditionalFormatting>
  <conditionalFormatting sqref="F34">
    <cfRule type="expression" dxfId="58" priority="7" stopIfTrue="1">
      <formula>$F34=0</formula>
    </cfRule>
  </conditionalFormatting>
  <conditionalFormatting sqref="F35">
    <cfRule type="expression" dxfId="57" priority="6" stopIfTrue="1">
      <formula>$F35=0</formula>
    </cfRule>
  </conditionalFormatting>
  <conditionalFormatting sqref="F45:F46">
    <cfRule type="expression" dxfId="56" priority="2" stopIfTrue="1">
      <formula>$F45=0</formula>
    </cfRule>
  </conditionalFormatting>
  <conditionalFormatting sqref="F47">
    <cfRule type="expression" dxfId="55" priority="1" stopIfTrue="1">
      <formula>$F47=0</formula>
    </cfRule>
  </conditionalFormatting>
  <conditionalFormatting sqref="F44">
    <cfRule type="expression" dxfId="54" priority="3" stopIfTrue="1">
      <formula>$F44=0</formula>
    </cfRule>
  </conditionalFormatting>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H38"/>
  <sheetViews>
    <sheetView topLeftCell="A16" workbookViewId="0">
      <selection activeCell="C6" sqref="C6:C15"/>
    </sheetView>
  </sheetViews>
  <sheetFormatPr defaultRowHeight="15" x14ac:dyDescent="0.25"/>
  <cols>
    <col min="2" max="2" width="43.28515625" customWidth="1"/>
    <col min="3" max="3" width="26.28515625" customWidth="1"/>
    <col min="4" max="4" width="14" customWidth="1"/>
    <col min="5" max="5" width="16.85546875" customWidth="1"/>
    <col min="6" max="6" width="14.140625" customWidth="1"/>
    <col min="7" max="7" width="53.7109375" bestFit="1" customWidth="1"/>
    <col min="8" max="8" width="12.42578125" bestFit="1" customWidth="1"/>
    <col min="9" max="9" width="11.42578125" customWidth="1"/>
  </cols>
  <sheetData>
    <row r="2" spans="2:3" ht="21.75" thickBot="1" x14ac:dyDescent="0.4">
      <c r="B2" s="90" t="s">
        <v>116</v>
      </c>
    </row>
    <row r="3" spans="2:3" ht="16.5" thickTop="1" x14ac:dyDescent="0.25">
      <c r="B3" s="465" t="s">
        <v>74</v>
      </c>
      <c r="C3" s="26" t="s">
        <v>75</v>
      </c>
    </row>
    <row r="4" spans="2:3" ht="15" customHeight="1" x14ac:dyDescent="0.25">
      <c r="B4" s="466"/>
      <c r="C4" s="27" t="s">
        <v>76</v>
      </c>
    </row>
    <row r="5" spans="2:3" ht="15.75" thickBot="1" x14ac:dyDescent="0.3">
      <c r="B5" s="467"/>
      <c r="C5" s="28" t="s">
        <v>77</v>
      </c>
    </row>
    <row r="6" spans="2:3" ht="15.75" thickTop="1" x14ac:dyDescent="0.25">
      <c r="B6" s="21" t="str">
        <f>IF(E6&gt;0,"1. Poplatky za plány/stavební projekt  *)","1. Poplatky za plány/stavební projekt")</f>
        <v>1. Poplatky za plány/stavební projekt</v>
      </c>
      <c r="C6" s="29" t="e">
        <f>SUM('Náklady související'!B10:B22)-'Náklady související'!B15+#REF!-'Náklady související'!B18</f>
        <v>#REF!</v>
      </c>
    </row>
    <row r="7" spans="2:3" x14ac:dyDescent="0.25">
      <c r="B7" s="21" t="str">
        <f>IF(E7&gt;0,"2. Nákup pozemků *)","2. Nákup pozemků")</f>
        <v>2. Nákup pozemků</v>
      </c>
      <c r="C7" s="30">
        <v>0</v>
      </c>
    </row>
    <row r="8" spans="2:3" ht="15" customHeight="1" x14ac:dyDescent="0.25">
      <c r="B8" s="21" t="str">
        <f>IF(E8&gt;0,"3. Výstavba  *)","3. Výstavba")</f>
        <v>3. Výstavba</v>
      </c>
      <c r="C8" s="30" t="e">
        <f>ROUND(Stavebni_naklady!T12,0)+SUM(#REF!)+'Náklady související'!B18</f>
        <v>#REF!</v>
      </c>
    </row>
    <row r="9" spans="2:3" x14ac:dyDescent="0.25">
      <c r="B9" s="21" t="s">
        <v>78</v>
      </c>
      <c r="C9" s="30">
        <v>0</v>
      </c>
    </row>
    <row r="10" spans="2:3" x14ac:dyDescent="0.25">
      <c r="B10" s="21" t="str">
        <f>IF(E10&gt;0,"5. Nepředvídatelné události  *)","5. Nepředvídatelné události")</f>
        <v>5. Nepředvídatelné události</v>
      </c>
      <c r="C10" s="30" t="e">
        <f>ROUND(Stavebni_naklady!T12*0.1,0)</f>
        <v>#REF!</v>
      </c>
    </row>
    <row r="11" spans="2:3" x14ac:dyDescent="0.25">
      <c r="B11" s="21" t="s">
        <v>79</v>
      </c>
      <c r="C11" s="30">
        <v>0</v>
      </c>
    </row>
    <row r="12" spans="2:3" x14ac:dyDescent="0.25">
      <c r="B12" s="21" t="str">
        <f>IF(E12&gt;0,"7. Propagace  *)","7. Propagace")</f>
        <v>7. Propagace</v>
      </c>
      <c r="C12" s="30">
        <v>0</v>
      </c>
    </row>
    <row r="13" spans="2:3" x14ac:dyDescent="0.25">
      <c r="B13" s="21" t="str">
        <f>IF(E13&gt;0,"8. Dozor v průběhu výstavby  *)","8. Dozor v průběhu výstavby")</f>
        <v>8. Dozor v průběhu výstavby</v>
      </c>
      <c r="C13" s="30" t="e">
        <f>'Náklady související'!B15</f>
        <v>#REF!</v>
      </c>
    </row>
    <row r="14" spans="2:3" ht="15.75" thickBot="1" x14ac:dyDescent="0.3">
      <c r="B14" s="21" t="str">
        <f>IF(E14&gt;0,"9. Technická pomoc  *)","9. Technická pomoc")</f>
        <v>9. Technická pomoc</v>
      </c>
      <c r="C14" s="29" t="e">
        <f>#REF!</f>
        <v>#REF!</v>
      </c>
    </row>
    <row r="15" spans="2:3" ht="17.25" thickTop="1" thickBot="1" x14ac:dyDescent="0.3">
      <c r="B15" s="22" t="s">
        <v>80</v>
      </c>
      <c r="C15" s="23" t="e">
        <f>SUM(C6:C14)</f>
        <v>#REF!</v>
      </c>
    </row>
    <row r="16" spans="2:3" x14ac:dyDescent="0.25">
      <c r="B16" s="24" t="s">
        <v>81</v>
      </c>
      <c r="C16" s="31" t="e">
        <f>C15*0.021</f>
        <v>#REF!</v>
      </c>
    </row>
    <row r="17" spans="2:8" ht="15.75" thickBot="1" x14ac:dyDescent="0.3">
      <c r="B17" s="25" t="s">
        <v>82</v>
      </c>
      <c r="C17" s="32" t="e">
        <f>C16+C15</f>
        <v>#REF!</v>
      </c>
    </row>
    <row r="18" spans="2:8" ht="15.75" thickTop="1" x14ac:dyDescent="0.25"/>
    <row r="19" spans="2:8" ht="21.75" thickBot="1" x14ac:dyDescent="0.4">
      <c r="B19" s="90" t="s">
        <v>117</v>
      </c>
    </row>
    <row r="20" spans="2:8" ht="16.5" thickBot="1" x14ac:dyDescent="0.3">
      <c r="B20" s="468" t="s">
        <v>133</v>
      </c>
      <c r="C20" s="469"/>
      <c r="D20" s="469"/>
      <c r="E20" s="100" t="e">
        <f>E21</f>
        <v>#REF!</v>
      </c>
      <c r="G20" s="98" t="s">
        <v>87</v>
      </c>
      <c r="H20" s="102" t="e">
        <f>SUM(H21:H26)</f>
        <v>#REF!</v>
      </c>
    </row>
    <row r="21" spans="2:8" ht="15.75" thickTop="1" x14ac:dyDescent="0.25">
      <c r="B21" s="470" t="s">
        <v>88</v>
      </c>
      <c r="C21" s="471"/>
      <c r="D21" s="471"/>
      <c r="E21" s="82" t="e">
        <f>SUM(E22:E26)</f>
        <v>#REF!</v>
      </c>
      <c r="G21" s="97" t="s">
        <v>122</v>
      </c>
      <c r="H21" s="103" t="e">
        <f>IF('Náklady související'!C4="ANO",0,'Náklady související'!C29)</f>
        <v>#REF!</v>
      </c>
    </row>
    <row r="22" spans="2:8" x14ac:dyDescent="0.25">
      <c r="B22" s="472" t="s">
        <v>85</v>
      </c>
      <c r="C22" s="33" t="s">
        <v>89</v>
      </c>
      <c r="D22" s="33" t="s">
        <v>84</v>
      </c>
      <c r="E22" s="83" t="e">
        <f>IF('Náklady související'!C4="ANO",0,SUM(Stavebni_naklady!T7:U9))</f>
        <v>#REF!</v>
      </c>
      <c r="G22" s="95" t="s">
        <v>123</v>
      </c>
      <c r="H22" s="104" t="e">
        <f>IF('Náklady související'!C4="ANO",0,'Náklady související'!C30)</f>
        <v>#REF!</v>
      </c>
    </row>
    <row r="23" spans="2:8" x14ac:dyDescent="0.25">
      <c r="B23" s="472"/>
      <c r="C23" s="33" t="s">
        <v>90</v>
      </c>
      <c r="D23" s="33" t="s">
        <v>86</v>
      </c>
      <c r="E23" s="83" t="e">
        <f>IF('Náklady související'!C4="ANO",0,Stavebni_naklady!T11)</f>
        <v>#REF!</v>
      </c>
      <c r="G23" s="95" t="s">
        <v>124</v>
      </c>
      <c r="H23" s="104" t="e">
        <f>IF('Náklady související'!C4="ANO",0,'Náklady související'!C31)</f>
        <v>#REF!</v>
      </c>
    </row>
    <row r="24" spans="2:8" ht="30" x14ac:dyDescent="0.25">
      <c r="B24" s="473"/>
      <c r="C24" s="94" t="s">
        <v>128</v>
      </c>
      <c r="D24" s="92"/>
      <c r="E24" s="93" t="e">
        <f>IF('Náklady související'!C4="ANO",0,'Náklady související'!B12)</f>
        <v>#REF!</v>
      </c>
      <c r="G24" s="95" t="s">
        <v>125</v>
      </c>
      <c r="H24" s="104" t="e">
        <f>IF('Náklady související'!C4="ANO",0,'Náklady související'!B14)</f>
        <v>#REF!</v>
      </c>
    </row>
    <row r="25" spans="2:8" x14ac:dyDescent="0.25">
      <c r="B25" s="473"/>
      <c r="C25" s="92" t="s">
        <v>127</v>
      </c>
      <c r="D25" s="92"/>
      <c r="E25" s="93" t="e">
        <f>IF('Náklady související'!C4="ANO",0,'Náklady související'!B15)</f>
        <v>#REF!</v>
      </c>
      <c r="G25" s="95" t="s">
        <v>126</v>
      </c>
      <c r="H25" s="104" t="e">
        <f>IF('Náklady související'!C4="ANO",0,'Náklady související'!C32)</f>
        <v>#REF!</v>
      </c>
    </row>
    <row r="26" spans="2:8" ht="15.75" thickBot="1" x14ac:dyDescent="0.3">
      <c r="B26" s="474"/>
      <c r="C26" s="34" t="s">
        <v>87</v>
      </c>
      <c r="D26" s="34"/>
      <c r="E26" s="101" t="e">
        <f>SUM(H21:H26)</f>
        <v>#REF!</v>
      </c>
      <c r="G26" s="96" t="s">
        <v>50</v>
      </c>
      <c r="H26" s="105" t="e">
        <f>IF('Náklady související'!C4="ANO",0,'Náklady související'!C33)</f>
        <v>#REF!</v>
      </c>
    </row>
    <row r="28" spans="2:8" ht="21.75" thickBot="1" x14ac:dyDescent="0.4">
      <c r="B28" s="90" t="s">
        <v>142</v>
      </c>
    </row>
    <row r="29" spans="2:8" x14ac:dyDescent="0.25">
      <c r="B29" s="86" t="s">
        <v>139</v>
      </c>
      <c r="C29" s="106" t="e">
        <f>IF('Náklady související'!C4="NE",0,'Náklady související'!B11)</f>
        <v>#REF!</v>
      </c>
      <c r="E29" s="85"/>
    </row>
    <row r="30" spans="2:8" x14ac:dyDescent="0.25">
      <c r="B30" s="87" t="s">
        <v>125</v>
      </c>
      <c r="C30" s="107" t="e">
        <f>IF('Náklady související'!C4="NE",0,'Náklady související'!B14)</f>
        <v>#REF!</v>
      </c>
    </row>
    <row r="31" spans="2:8" x14ac:dyDescent="0.25">
      <c r="B31" s="87" t="s">
        <v>140</v>
      </c>
      <c r="C31" s="107" t="e">
        <f>IF('Náklady související'!C4="NE",0,'Náklady související'!B15)</f>
        <v>#REF!</v>
      </c>
    </row>
    <row r="32" spans="2:8" x14ac:dyDescent="0.25">
      <c r="B32" s="87" t="s">
        <v>137</v>
      </c>
      <c r="C32" s="107" t="e">
        <f>IF('Náklady související'!C4="NE",0,'Náklady související'!B17)</f>
        <v>#REF!</v>
      </c>
    </row>
    <row r="33" spans="2:3" x14ac:dyDescent="0.25">
      <c r="B33" s="87" t="s">
        <v>136</v>
      </c>
      <c r="C33" s="107" t="e">
        <f>IF('Náklady související'!C4="NE",0,'Náklady související'!B19)</f>
        <v>#REF!</v>
      </c>
    </row>
    <row r="34" spans="2:3" x14ac:dyDescent="0.25">
      <c r="B34" s="87" t="s">
        <v>135</v>
      </c>
      <c r="C34" s="108" t="e">
        <f>IF('Náklady související'!C4="NE",0,'Náklady související'!B20)</f>
        <v>#REF!</v>
      </c>
    </row>
    <row r="35" spans="2:3" x14ac:dyDescent="0.25">
      <c r="B35" s="88" t="s">
        <v>138</v>
      </c>
      <c r="C35" s="107" t="e">
        <f>IF('Náklady související'!C4="NE",0,'Náklady související'!B21)</f>
        <v>#REF!</v>
      </c>
    </row>
    <row r="36" spans="2:3" ht="15.75" thickBot="1" x14ac:dyDescent="0.3">
      <c r="B36" s="89" t="s">
        <v>141</v>
      </c>
      <c r="C36" s="109" t="e">
        <f>IF('Náklady související'!C4="NE",0,'Náklady související'!B22)</f>
        <v>#REF!</v>
      </c>
    </row>
    <row r="37" spans="2:3" ht="16.5" thickTop="1" thickBot="1" x14ac:dyDescent="0.3">
      <c r="B37" s="91" t="s">
        <v>110</v>
      </c>
      <c r="C37" s="110" t="e">
        <f>SUM(C29:C36)</f>
        <v>#REF!</v>
      </c>
    </row>
    <row r="38" spans="2:3" x14ac:dyDescent="0.25">
      <c r="B38" s="241"/>
    </row>
  </sheetData>
  <mergeCells count="4">
    <mergeCell ref="B3:B5"/>
    <mergeCell ref="B20:D20"/>
    <mergeCell ref="B21:D21"/>
    <mergeCell ref="B22:B26"/>
  </mergeCells>
  <conditionalFormatting sqref="B7:C7">
    <cfRule type="expression" dxfId="53" priority="48">
      <formula>$D$15&gt;0</formula>
    </cfRule>
  </conditionalFormatting>
  <conditionalFormatting sqref="B8:C8">
    <cfRule type="expression" dxfId="52" priority="47">
      <formula>$D$16&gt;0</formula>
    </cfRule>
  </conditionalFormatting>
  <conditionalFormatting sqref="B9:C9">
    <cfRule type="expression" dxfId="51" priority="46">
      <formula>$D$17&gt;0</formula>
    </cfRule>
  </conditionalFormatting>
  <conditionalFormatting sqref="B6:C6">
    <cfRule type="expression" dxfId="50" priority="43">
      <formula>$D$14&gt;0</formula>
    </cfRule>
  </conditionalFormatting>
  <conditionalFormatting sqref="B10:C10">
    <cfRule type="expression" dxfId="49" priority="41">
      <formula>$D$18&gt;0</formula>
    </cfRule>
  </conditionalFormatting>
  <conditionalFormatting sqref="B11:C11">
    <cfRule type="expression" dxfId="48" priority="40">
      <formula>$D$19&gt;0</formula>
    </cfRule>
  </conditionalFormatting>
  <conditionalFormatting sqref="B13:C13">
    <cfRule type="expression" dxfId="47" priority="257">
      <formula>#REF!&gt;0</formula>
    </cfRule>
  </conditionalFormatting>
  <conditionalFormatting sqref="B14:C14">
    <cfRule type="expression" dxfId="46" priority="258">
      <formula>#REF!&gt;0</formula>
    </cfRule>
  </conditionalFormatting>
  <conditionalFormatting sqref="B12:C12">
    <cfRule type="expression" dxfId="45" priority="259">
      <formula>#REF!&gt;0</formula>
    </cfRule>
  </conditionalFormatting>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U22"/>
  <sheetViews>
    <sheetView zoomScale="70" zoomScaleNormal="70" workbookViewId="0">
      <selection activeCell="R14" sqref="R14:S14"/>
    </sheetView>
  </sheetViews>
  <sheetFormatPr defaultRowHeight="15" x14ac:dyDescent="0.25"/>
  <cols>
    <col min="2" max="2" width="9.5703125" bestFit="1" customWidth="1"/>
    <col min="3" max="3" width="7.85546875" bestFit="1" customWidth="1"/>
    <col min="4" max="4" width="22" customWidth="1"/>
    <col min="5" max="5" width="8.85546875" bestFit="1" customWidth="1"/>
    <col min="6" max="7" width="8.7109375" bestFit="1" customWidth="1"/>
    <col min="8" max="8" width="20.140625" customWidth="1"/>
    <col min="10" max="10" width="27.5703125" bestFit="1" customWidth="1"/>
    <col min="11" max="11" width="11.42578125" bestFit="1" customWidth="1"/>
    <col min="12" max="12" width="10.140625" customWidth="1"/>
    <col min="13" max="13" width="15.85546875" bestFit="1" customWidth="1"/>
    <col min="14" max="14" width="12.42578125" bestFit="1" customWidth="1"/>
    <col min="15" max="18" width="10.140625" bestFit="1" customWidth="1"/>
    <col min="19" max="19" width="9.7109375" customWidth="1"/>
    <col min="20" max="20" width="15.42578125" customWidth="1"/>
  </cols>
  <sheetData>
    <row r="1" spans="2:21" ht="15.75" thickBot="1" x14ac:dyDescent="0.3">
      <c r="J1" s="66" t="s">
        <v>148</v>
      </c>
      <c r="K1" s="243">
        <v>3.6999999999999998E-2</v>
      </c>
      <c r="M1" s="492">
        <v>2021</v>
      </c>
      <c r="N1" s="492"/>
      <c r="O1" s="492">
        <v>2022</v>
      </c>
      <c r="P1" s="492"/>
      <c r="Q1" s="492">
        <v>2023</v>
      </c>
      <c r="R1" s="492"/>
      <c r="S1" s="76"/>
    </row>
    <row r="2" spans="2:21" ht="24" x14ac:dyDescent="0.25">
      <c r="B2" s="52" t="s">
        <v>91</v>
      </c>
      <c r="C2" s="53" t="s">
        <v>92</v>
      </c>
      <c r="D2" s="53" t="s">
        <v>93</v>
      </c>
      <c r="E2" s="54" t="s">
        <v>94</v>
      </c>
      <c r="F2" s="46" t="s">
        <v>95</v>
      </c>
      <c r="G2" s="46" t="s">
        <v>96</v>
      </c>
      <c r="H2" s="55" t="s">
        <v>97</v>
      </c>
      <c r="J2" s="68" t="s">
        <v>111</v>
      </c>
      <c r="K2" s="69" t="e">
        <f>#REF!</f>
        <v>#REF!</v>
      </c>
      <c r="M2" s="75" t="str">
        <f>CONCATENATE("01.","01.",M1)</f>
        <v>01.01.2021</v>
      </c>
      <c r="N2" s="75" t="str">
        <f>CONCATENATE("31.","12.",M1)</f>
        <v>31.12.2021</v>
      </c>
      <c r="O2" s="75" t="str">
        <f>CONCATENATE("01.","01.",O1)</f>
        <v>01.01.2022</v>
      </c>
      <c r="P2" s="75" t="str">
        <f>CONCATENATE("31.","12.",O1)</f>
        <v>31.12.2022</v>
      </c>
      <c r="Q2" s="75" t="str">
        <f>CONCATENATE("01.","01.",Q1)</f>
        <v>01.01.2023</v>
      </c>
      <c r="R2" s="75" t="str">
        <f>CONCATENATE("31.","12.",Q1)</f>
        <v>31.12.2023</v>
      </c>
      <c r="S2" s="70"/>
    </row>
    <row r="3" spans="2:21" ht="15.75" thickBot="1" x14ac:dyDescent="0.3">
      <c r="B3" s="56"/>
      <c r="C3" s="35"/>
      <c r="D3" s="36"/>
      <c r="E3" s="37" t="s">
        <v>83</v>
      </c>
      <c r="F3" s="38"/>
      <c r="G3" s="38"/>
      <c r="H3" s="57"/>
      <c r="J3" s="71" t="s">
        <v>112</v>
      </c>
      <c r="K3" s="72" t="e">
        <f>#REF!</f>
        <v>#REF!</v>
      </c>
      <c r="M3" s="67" t="s">
        <v>113</v>
      </c>
      <c r="N3" s="67" t="e">
        <f>IF(YEAR($K$2)=YEAR($K$3),IF(M1=YEAR($K$2),$K$4,IF(YEAR($K$3)&gt;YEAR(N2),(IF(YEAR($K$2)&lt;YEAR(N2),(N2-M2+1),IF(YEAR($K$2)=YEAR(N2),(N2-$K$2+1),0))),IF(YEAR($K$3)=YEAR(N2),($K$3-M2+1),0))),IF(YEAR($K$3)&gt;YEAR(N2),(IF(YEAR($K$2)&lt;YEAR(N2),(N2-M2+1),IF(YEAR($K$2)=YEAR(N2),(N2-$K$2+1),0))),IF(YEAR($K$3)=YEAR(N2),($K$3-M2+1),0)))</f>
        <v>#REF!</v>
      </c>
      <c r="O3" s="67" t="s">
        <v>113</v>
      </c>
      <c r="P3" s="67" t="e">
        <f>IF(YEAR($K$2)=YEAR($K$3),IF(O1=YEAR($K$2),$K$4,IF(YEAR($K$3)&gt;YEAR(P2),(IF(YEAR($K$2)&lt;YEAR(P2),(P2-O2+1),IF(YEAR($K$2)=YEAR(P2),(P2-$K$2+1),0))),IF(YEAR($K$3)=YEAR(P2),($K$3-O2+1),0))),IF(YEAR($K$3)&gt;YEAR(P2),(IF(YEAR($K$2)&lt;YEAR(P2),(P2-O2+1),IF(YEAR($K$2)=YEAR(P2),(P2-$K$2+1),0))),IF(YEAR($K$3)=YEAR(P2),($K$3-O2+1),0)))</f>
        <v>#REF!</v>
      </c>
      <c r="Q3" s="67" t="s">
        <v>113</v>
      </c>
      <c r="R3" s="67" t="e">
        <f>IF(YEAR($K$2)=YEAR($K$3),IF(Q1=YEAR($K$2),$K$4,IF(YEAR($K$3)&gt;YEAR(R2),(IF(YEAR($K$2)&lt;YEAR(R2),(R2-Q2+1),IF(YEAR($K$2)=YEAR(R2),(R2-$K$2+1),0))),IF(YEAR($K$3)=YEAR(R2),($K$3-Q2+1),0))),IF(YEAR($K$3)&gt;YEAR(R2),(IF(YEAR($K$2)&lt;YEAR(R2),(R2-Q2+1),IF(YEAR($K$2)=YEAR(R2),(R2-$K$2+1),0))),IF(YEAR($K$3)=YEAR(R2),($K$3-Q2+1),0)))</f>
        <v>#REF!</v>
      </c>
      <c r="S3" s="73"/>
    </row>
    <row r="4" spans="2:21" x14ac:dyDescent="0.25">
      <c r="B4" s="58" t="s">
        <v>98</v>
      </c>
      <c r="C4" s="39"/>
      <c r="D4" s="39" t="s">
        <v>99</v>
      </c>
      <c r="E4" s="40" t="s">
        <v>100</v>
      </c>
      <c r="F4" s="41" t="e">
        <f>$K$2</f>
        <v>#REF!</v>
      </c>
      <c r="G4" s="41" t="e">
        <f>$K$3</f>
        <v>#REF!</v>
      </c>
      <c r="H4" s="59" t="e">
        <f>'Náklady stavební'!F8+'Náklady stavební'!F17+'Náklady stavební'!F26+'Náklady stavební'!F35+'Náklady stavební'!F44+'Náklady stavební'!F53+'Náklady stavební'!F62+'Náklady stavební'!F71+'Náklady stavební'!F80+'Náklady stavební'!F89</f>
        <v>#REF!</v>
      </c>
      <c r="J4" s="67" t="s">
        <v>114</v>
      </c>
      <c r="K4" s="74" t="e">
        <f>K3-K2+1</f>
        <v>#REF!</v>
      </c>
      <c r="L4" s="74"/>
      <c r="M4" s="67"/>
      <c r="N4" s="67"/>
      <c r="O4" s="67"/>
      <c r="P4" s="67"/>
      <c r="Q4" s="67"/>
      <c r="R4" s="67"/>
      <c r="S4" s="67"/>
    </row>
    <row r="5" spans="2:21" ht="15.75" thickBot="1" x14ac:dyDescent="0.3">
      <c r="B5" s="58" t="s">
        <v>101</v>
      </c>
      <c r="C5" s="39"/>
      <c r="D5" s="39" t="s">
        <v>102</v>
      </c>
      <c r="E5" s="42" t="s">
        <v>100</v>
      </c>
      <c r="F5" s="41" t="e">
        <f t="shared" ref="F5:F7" si="0">$K$2</f>
        <v>#REF!</v>
      </c>
      <c r="G5" s="41" t="e">
        <f t="shared" ref="G5:G7" si="1">$K$3</f>
        <v>#REF!</v>
      </c>
      <c r="H5" s="59" t="e">
        <f>'Náklady stavební'!F9+'Náklady stavební'!F18+'Náklady stavební'!F27+'Náklady stavební'!F36+'Náklady stavební'!F45+'Náklady stavební'!F54+'Náklady stavební'!F63+'Náklady stavební'!F72+'Náklady stavební'!F81+'Náklady stavební'!F90</f>
        <v>#REF!</v>
      </c>
    </row>
    <row r="6" spans="2:21" ht="15.75" thickBot="1" x14ac:dyDescent="0.3">
      <c r="B6" s="58" t="s">
        <v>103</v>
      </c>
      <c r="C6" s="39"/>
      <c r="D6" s="39" t="s">
        <v>104</v>
      </c>
      <c r="E6" s="42" t="s">
        <v>100</v>
      </c>
      <c r="F6" s="41" t="e">
        <f t="shared" si="0"/>
        <v>#REF!</v>
      </c>
      <c r="G6" s="41" t="e">
        <f t="shared" si="1"/>
        <v>#REF!</v>
      </c>
      <c r="H6" s="59" t="e">
        <f>'Náklady stavební'!F10+'Náklady stavební'!F19+'Náklady stavební'!F28+'Náklady stavební'!F37+'Náklady stavební'!F46+'Náklady stavební'!F55+'Náklady stavební'!F64+'Náklady stavební'!F73+'Náklady stavební'!F82+'Náklady stavební'!F91</f>
        <v>#REF!</v>
      </c>
      <c r="I6" s="17"/>
      <c r="L6" s="78"/>
      <c r="M6" s="242">
        <v>2020</v>
      </c>
      <c r="N6" s="493">
        <v>2021</v>
      </c>
      <c r="O6" s="493"/>
      <c r="P6" s="493">
        <f>N6+1</f>
        <v>2022</v>
      </c>
      <c r="Q6" s="493"/>
      <c r="R6" s="493">
        <f>P6+1</f>
        <v>2023</v>
      </c>
      <c r="S6" s="493"/>
      <c r="T6" s="494" t="s">
        <v>115</v>
      </c>
      <c r="U6" s="495"/>
    </row>
    <row r="7" spans="2:21" x14ac:dyDescent="0.25">
      <c r="B7" s="58" t="s">
        <v>216</v>
      </c>
      <c r="C7" s="39"/>
      <c r="D7" s="39" t="s">
        <v>217</v>
      </c>
      <c r="E7" s="42" t="s">
        <v>100</v>
      </c>
      <c r="F7" s="41" t="e">
        <f t="shared" si="0"/>
        <v>#REF!</v>
      </c>
      <c r="G7" s="41" t="e">
        <f t="shared" si="1"/>
        <v>#REF!</v>
      </c>
      <c r="H7" s="59" t="e">
        <f>'Náklady stavební'!F11+'Náklady stavební'!F20+'Náklady stavební'!F29+'Náklady stavební'!F38+'Náklady stavební'!F47+'Náklady stavební'!F56+'Náklady stavební'!F65+'Náklady stavební'!F74+'Náklady stavební'!F83+'Náklady stavební'!F92</f>
        <v>#REF!</v>
      </c>
      <c r="L7" s="79" t="s">
        <v>98</v>
      </c>
      <c r="M7" s="244" t="e">
        <f>H4-(N7+P7+R7)</f>
        <v>#REF!</v>
      </c>
      <c r="N7" s="489" t="e">
        <f>$H$4/$K$4*N3</f>
        <v>#REF!</v>
      </c>
      <c r="O7" s="489"/>
      <c r="P7" s="489" t="e">
        <f>$H$4/$K$4*P3</f>
        <v>#REF!</v>
      </c>
      <c r="Q7" s="489"/>
      <c r="R7" s="489" t="e">
        <f>$H$4/$K$4*R3</f>
        <v>#REF!</v>
      </c>
      <c r="S7" s="489"/>
      <c r="T7" s="496" t="e">
        <f>SUM(M7:S7)</f>
        <v>#REF!</v>
      </c>
      <c r="U7" s="497"/>
    </row>
    <row r="8" spans="2:21" ht="15.75" thickBot="1" x14ac:dyDescent="0.3">
      <c r="B8" s="51" t="s">
        <v>110</v>
      </c>
      <c r="C8" s="62"/>
      <c r="D8" s="62"/>
      <c r="E8" s="62"/>
      <c r="F8" s="62"/>
      <c r="G8" s="62"/>
      <c r="H8" s="63" t="e">
        <f>SUM(H4:H6)</f>
        <v>#REF!</v>
      </c>
      <c r="L8" s="58" t="s">
        <v>101</v>
      </c>
      <c r="M8" s="245" t="e">
        <f>H5-(N8+P8+R8)</f>
        <v>#REF!</v>
      </c>
      <c r="N8" s="490" t="e">
        <f>$H$5/$K$4*N3</f>
        <v>#REF!</v>
      </c>
      <c r="O8" s="490"/>
      <c r="P8" s="490" t="e">
        <f>$H$5/$K$4*P3</f>
        <v>#REF!</v>
      </c>
      <c r="Q8" s="490"/>
      <c r="R8" s="490" t="e">
        <f>$H$5/$K$4*R3</f>
        <v>#REF!</v>
      </c>
      <c r="S8" s="490"/>
      <c r="T8" s="498" t="e">
        <f>SUM(M8:S8)</f>
        <v>#REF!</v>
      </c>
      <c r="U8" s="499"/>
    </row>
    <row r="9" spans="2:21" ht="15.75" thickBot="1" x14ac:dyDescent="0.3">
      <c r="L9" s="51" t="s">
        <v>103</v>
      </c>
      <c r="M9" s="246" t="e">
        <f>H6-(N9+P9+R9)</f>
        <v>#REF!</v>
      </c>
      <c r="N9" s="491" t="e">
        <f>$H$6/$K$4*N3</f>
        <v>#REF!</v>
      </c>
      <c r="O9" s="491"/>
      <c r="P9" s="491" t="e">
        <f>$H$6/$K$4*P3</f>
        <v>#REF!</v>
      </c>
      <c r="Q9" s="491"/>
      <c r="R9" s="491" t="e">
        <f>$H$6/$K$4*R3</f>
        <v>#REF!</v>
      </c>
      <c r="S9" s="491"/>
      <c r="T9" s="483" t="e">
        <f>SUM(M9:S9)</f>
        <v>#REF!</v>
      </c>
      <c r="U9" s="484"/>
    </row>
    <row r="10" spans="2:21" ht="24.75" thickBot="1" x14ac:dyDescent="0.3">
      <c r="B10" s="43" t="s">
        <v>91</v>
      </c>
      <c r="C10" s="44" t="s">
        <v>105</v>
      </c>
      <c r="D10" s="44" t="s">
        <v>106</v>
      </c>
      <c r="E10" s="45" t="s">
        <v>94</v>
      </c>
      <c r="F10" s="46" t="s">
        <v>95</v>
      </c>
      <c r="G10" s="46" t="s">
        <v>96</v>
      </c>
      <c r="H10" s="47" t="s">
        <v>107</v>
      </c>
      <c r="L10" s="51" t="s">
        <v>216</v>
      </c>
      <c r="M10" s="246" t="e">
        <f>H7-(N10+P10+R10)</f>
        <v>#REF!</v>
      </c>
      <c r="N10" s="491" t="e">
        <f>$H$7/$K$4*N3</f>
        <v>#REF!</v>
      </c>
      <c r="O10" s="491"/>
      <c r="P10" s="491" t="e">
        <f>$H$7/$K$4*P3</f>
        <v>#REF!</v>
      </c>
      <c r="Q10" s="491"/>
      <c r="R10" s="491" t="e">
        <f>$H$6/$K$4*R3</f>
        <v>#REF!</v>
      </c>
      <c r="S10" s="491"/>
      <c r="T10" s="483" t="e">
        <f>SUM(M10:S10)</f>
        <v>#REF!</v>
      </c>
      <c r="U10" s="484"/>
    </row>
    <row r="11" spans="2:21" ht="15.75" thickBot="1" x14ac:dyDescent="0.3">
      <c r="B11" s="48"/>
      <c r="C11" s="49"/>
      <c r="D11" s="36"/>
      <c r="E11" s="37" t="s">
        <v>83</v>
      </c>
      <c r="F11" s="41"/>
      <c r="G11" s="41"/>
      <c r="H11" s="50"/>
      <c r="L11" s="80" t="s">
        <v>108</v>
      </c>
      <c r="M11" s="247" t="e">
        <f>H12-(N11+P11+R11)</f>
        <v>#REF!</v>
      </c>
      <c r="N11" s="485" t="e">
        <f>$H$12/$K$4*N3</f>
        <v>#REF!</v>
      </c>
      <c r="O11" s="485"/>
      <c r="P11" s="485" t="e">
        <f>$H$12/$K$4*P3</f>
        <v>#REF!</v>
      </c>
      <c r="Q11" s="485"/>
      <c r="R11" s="485" t="e">
        <f>$H$12/$K$4*R3</f>
        <v>#REF!</v>
      </c>
      <c r="S11" s="485"/>
      <c r="T11" s="481" t="e">
        <f>SUM(M11:S11)</f>
        <v>#REF!</v>
      </c>
      <c r="U11" s="482"/>
    </row>
    <row r="12" spans="2:21" ht="16.5" thickTop="1" thickBot="1" x14ac:dyDescent="0.3">
      <c r="B12" s="58" t="s">
        <v>108</v>
      </c>
      <c r="C12" s="39"/>
      <c r="D12" s="39" t="s">
        <v>109</v>
      </c>
      <c r="E12" s="40" t="s">
        <v>100</v>
      </c>
      <c r="F12" s="41" t="e">
        <f>K2</f>
        <v>#REF!</v>
      </c>
      <c r="G12" s="41" t="e">
        <f>K3</f>
        <v>#REF!</v>
      </c>
      <c r="H12" s="64" t="e">
        <f>'Náklady stavební'!F7+'Náklady stavební'!F16+'Náklady stavební'!F25+'Náklady stavební'!F34+'Náklady stavební'!F43+'Náklady stavební'!F52+'Náklady stavební'!F61+'Náklady stavební'!F70+'Náklady stavební'!F79+'Náklady stavební'!F88</f>
        <v>#REF!</v>
      </c>
      <c r="L12" s="81" t="s">
        <v>110</v>
      </c>
      <c r="M12" s="248" t="e">
        <f>SUM(M7:M11)</f>
        <v>#REF!</v>
      </c>
      <c r="N12" s="486" t="e">
        <f>SUM(N7:O11)</f>
        <v>#REF!</v>
      </c>
      <c r="O12" s="486"/>
      <c r="P12" s="486" t="e">
        <f>SUM(P7:Q11)</f>
        <v>#REF!</v>
      </c>
      <c r="Q12" s="486"/>
      <c r="R12" s="486" t="e">
        <f>SUM(R7:S11)</f>
        <v>#REF!</v>
      </c>
      <c r="S12" s="486"/>
      <c r="T12" s="487" t="e">
        <f>SUM(T7:U11)</f>
        <v>#REF!</v>
      </c>
      <c r="U12" s="488"/>
    </row>
    <row r="13" spans="2:21" ht="16.5" thickTop="1" thickBot="1" x14ac:dyDescent="0.3">
      <c r="B13" s="60"/>
      <c r="C13" s="61"/>
      <c r="D13" s="61"/>
      <c r="E13" s="61"/>
      <c r="F13" s="61"/>
      <c r="G13" s="61"/>
      <c r="H13" s="64"/>
      <c r="K13" s="252" t="s">
        <v>5</v>
      </c>
      <c r="L13" s="253" t="s">
        <v>150</v>
      </c>
      <c r="M13" s="249" t="e">
        <f>SUM(M7:M10)</f>
        <v>#REF!</v>
      </c>
      <c r="N13" s="476" t="e">
        <f>(SUM(N7:O10))*POWER(1+$K$1,1)</f>
        <v>#REF!</v>
      </c>
      <c r="O13" s="477"/>
      <c r="P13" s="476" t="e">
        <f>SUM(P7:Q10)*POWER(1+$K$1,2)</f>
        <v>#REF!</v>
      </c>
      <c r="Q13" s="477"/>
      <c r="R13" s="476" t="e">
        <f>SUM(R7:S10)*POWER(1+$K$1,3)</f>
        <v>#REF!</v>
      </c>
      <c r="S13" s="478"/>
      <c r="T13" s="479" t="e">
        <f>SUM(M13:S13)</f>
        <v>#REF!</v>
      </c>
      <c r="U13" s="480"/>
    </row>
    <row r="14" spans="2:21" ht="16.5" thickTop="1" thickBot="1" x14ac:dyDescent="0.3">
      <c r="B14" s="51" t="s">
        <v>110</v>
      </c>
      <c r="C14" s="62"/>
      <c r="D14" s="62"/>
      <c r="E14" s="62"/>
      <c r="F14" s="62"/>
      <c r="G14" s="62"/>
      <c r="H14" s="65" t="e">
        <f>SUM(H12)</f>
        <v>#REF!</v>
      </c>
      <c r="K14" s="252" t="s">
        <v>4</v>
      </c>
      <c r="L14" s="253" t="s">
        <v>150</v>
      </c>
      <c r="M14" s="249" t="e">
        <f>M11</f>
        <v>#REF!</v>
      </c>
      <c r="N14" s="476" t="e">
        <f>N11*POWER(1+$K$1,1)</f>
        <v>#REF!</v>
      </c>
      <c r="O14" s="477"/>
      <c r="P14" s="476" t="e">
        <f>P11*POWER(1+$K$1,2)</f>
        <v>#REF!</v>
      </c>
      <c r="Q14" s="477"/>
      <c r="R14" s="476" t="e">
        <f>R11*POWER(1+$K$1,3)</f>
        <v>#REF!</v>
      </c>
      <c r="S14" s="478"/>
      <c r="T14" s="479" t="e">
        <f>SUM(M14:S14)</f>
        <v>#REF!</v>
      </c>
      <c r="U14" s="480"/>
    </row>
    <row r="15" spans="2:21" ht="16.5" thickTop="1" thickBot="1" x14ac:dyDescent="0.3">
      <c r="L15" s="250" t="s">
        <v>149</v>
      </c>
      <c r="M15" s="251" t="e">
        <f>(M13+M14)-M12</f>
        <v>#REF!</v>
      </c>
      <c r="N15" s="475" t="e">
        <f t="shared" ref="N15:U15" si="2">(N13+N14)-N12</f>
        <v>#REF!</v>
      </c>
      <c r="O15" s="475">
        <f t="shared" si="2"/>
        <v>0</v>
      </c>
      <c r="P15" s="475" t="e">
        <f t="shared" si="2"/>
        <v>#REF!</v>
      </c>
      <c r="Q15" s="475">
        <f t="shared" si="2"/>
        <v>0</v>
      </c>
      <c r="R15" s="475" t="e">
        <f t="shared" si="2"/>
        <v>#REF!</v>
      </c>
      <c r="S15" s="475">
        <f t="shared" si="2"/>
        <v>0</v>
      </c>
      <c r="T15" s="475" t="e">
        <f t="shared" si="2"/>
        <v>#REF!</v>
      </c>
      <c r="U15" s="475">
        <f t="shared" si="2"/>
        <v>0</v>
      </c>
    </row>
    <row r="17" spans="20:20" x14ac:dyDescent="0.25">
      <c r="T17" s="254"/>
    </row>
    <row r="22" spans="20:20" x14ac:dyDescent="0.25">
      <c r="T22" s="254"/>
    </row>
  </sheetData>
  <mergeCells count="43">
    <mergeCell ref="T6:U6"/>
    <mergeCell ref="Q1:R1"/>
    <mergeCell ref="P7:Q7"/>
    <mergeCell ref="P8:Q8"/>
    <mergeCell ref="P10:Q10"/>
    <mergeCell ref="R10:S10"/>
    <mergeCell ref="P6:Q6"/>
    <mergeCell ref="R6:S6"/>
    <mergeCell ref="P9:Q9"/>
    <mergeCell ref="R7:S7"/>
    <mergeCell ref="R8:S8"/>
    <mergeCell ref="R9:S9"/>
    <mergeCell ref="T7:U7"/>
    <mergeCell ref="T8:U8"/>
    <mergeCell ref="T9:U9"/>
    <mergeCell ref="N7:O7"/>
    <mergeCell ref="N8:O8"/>
    <mergeCell ref="N10:O10"/>
    <mergeCell ref="N11:O11"/>
    <mergeCell ref="M1:N1"/>
    <mergeCell ref="O1:P1"/>
    <mergeCell ref="N6:O6"/>
    <mergeCell ref="N9:O9"/>
    <mergeCell ref="T11:U11"/>
    <mergeCell ref="T10:U10"/>
    <mergeCell ref="N13:O13"/>
    <mergeCell ref="P13:Q13"/>
    <mergeCell ref="R13:S13"/>
    <mergeCell ref="T13:U13"/>
    <mergeCell ref="P11:Q11"/>
    <mergeCell ref="N12:O12"/>
    <mergeCell ref="P12:Q12"/>
    <mergeCell ref="R12:S12"/>
    <mergeCell ref="T12:U12"/>
    <mergeCell ref="R11:S11"/>
    <mergeCell ref="N15:O15"/>
    <mergeCell ref="P15:Q15"/>
    <mergeCell ref="R15:S15"/>
    <mergeCell ref="T15:U15"/>
    <mergeCell ref="N14:O14"/>
    <mergeCell ref="P14:Q14"/>
    <mergeCell ref="R14:S14"/>
    <mergeCell ref="T14:U14"/>
  </mergeCells>
  <conditionalFormatting sqref="F3">
    <cfRule type="expression" dxfId="44" priority="58">
      <formula>AND(YEAR($E3)&lt;$B$8,F3&lt;&gt;"")</formula>
    </cfRule>
  </conditionalFormatting>
  <conditionalFormatting sqref="F3">
    <cfRule type="expression" dxfId="43" priority="57">
      <formula>AND(YEAR($E3)&lt;$B$8,F3&lt;&gt;"")</formula>
    </cfRule>
  </conditionalFormatting>
  <conditionalFormatting sqref="G3">
    <cfRule type="cellIs" dxfId="42" priority="56" operator="lessThan">
      <formula>$E3</formula>
    </cfRule>
  </conditionalFormatting>
  <conditionalFormatting sqref="G3">
    <cfRule type="cellIs" dxfId="41" priority="55" operator="lessThan">
      <formula>$E3</formula>
    </cfRule>
  </conditionalFormatting>
  <conditionalFormatting sqref="G3">
    <cfRule type="cellIs" dxfId="40" priority="54" operator="lessThan">
      <formula>$E3</formula>
    </cfRule>
  </conditionalFormatting>
  <conditionalFormatting sqref="F4">
    <cfRule type="expression" dxfId="39" priority="53">
      <formula>AND(YEAR($E4)&lt;$B$8,F4&lt;&gt;"")</formula>
    </cfRule>
  </conditionalFormatting>
  <conditionalFormatting sqref="G4">
    <cfRule type="cellIs" dxfId="38" priority="52" operator="lessThan">
      <formula>$F$4</formula>
    </cfRule>
  </conditionalFormatting>
  <conditionalFormatting sqref="B4:B6 B8">
    <cfRule type="expression" dxfId="37" priority="50">
      <formula>ISTEXT($A4)=TRUE</formula>
    </cfRule>
    <cfRule type="expression" dxfId="36" priority="51">
      <formula>ISTEXT($C4)=TRUE</formula>
    </cfRule>
  </conditionalFormatting>
  <conditionalFormatting sqref="H4:H6">
    <cfRule type="expression" dxfId="35" priority="48">
      <formula>$G4+$I4&gt;0</formula>
    </cfRule>
    <cfRule type="expression" dxfId="34" priority="49">
      <formula>ISTEXT($C4)=TRUE</formula>
    </cfRule>
  </conditionalFormatting>
  <conditionalFormatting sqref="E4">
    <cfRule type="expression" dxfId="33" priority="45">
      <formula>IF(E4="SŽDC",0,IF(E4="Ostatní",0,IF(E4="",0,1)))=1</formula>
    </cfRule>
    <cfRule type="expression" dxfId="32" priority="46">
      <formula>ISTEXT($D4)=TRUE</formula>
    </cfRule>
    <cfRule type="expression" dxfId="31" priority="47">
      <formula>ISTEXT($C4)=TRUE</formula>
    </cfRule>
  </conditionalFormatting>
  <conditionalFormatting sqref="E5:E6">
    <cfRule type="expression" dxfId="30" priority="281">
      <formula>#REF!="Chyba"</formula>
    </cfRule>
  </conditionalFormatting>
  <conditionalFormatting sqref="F11">
    <cfRule type="expression" dxfId="29" priority="42">
      <formula>AND(YEAR($E11)&lt;$B$8,F11&lt;&gt;"")</formula>
    </cfRule>
  </conditionalFormatting>
  <conditionalFormatting sqref="G11">
    <cfRule type="cellIs" dxfId="28" priority="41" operator="lessThan">
      <formula>$E11</formula>
    </cfRule>
  </conditionalFormatting>
  <conditionalFormatting sqref="F12">
    <cfRule type="expression" dxfId="27" priority="40">
      <formula>AND(YEAR($E12)&lt;$B$8,F12&lt;&gt;"")</formula>
    </cfRule>
  </conditionalFormatting>
  <conditionalFormatting sqref="G12">
    <cfRule type="cellIs" dxfId="26" priority="39" operator="lessThan">
      <formula>$F$4</formula>
    </cfRule>
  </conditionalFormatting>
  <conditionalFormatting sqref="B12">
    <cfRule type="expression" dxfId="25" priority="37">
      <formula>ISTEXT($A12)=TRUE</formula>
    </cfRule>
    <cfRule type="expression" dxfId="24" priority="38">
      <formula>ISTEXT($C12)=TRUE</formula>
    </cfRule>
  </conditionalFormatting>
  <conditionalFormatting sqref="E12">
    <cfRule type="expression" dxfId="23" priority="34">
      <formula>IF(E12="SŽDC",0,IF(E12="Ostatní",0,IF(E12="",0,1)))=1</formula>
    </cfRule>
    <cfRule type="expression" dxfId="22" priority="35">
      <formula>ISTEXT($D12)=TRUE</formula>
    </cfRule>
    <cfRule type="expression" dxfId="21" priority="36">
      <formula>ISTEXT($C12)=TRUE</formula>
    </cfRule>
  </conditionalFormatting>
  <conditionalFormatting sqref="B14">
    <cfRule type="expression" dxfId="20" priority="32">
      <formula>ISTEXT($A14)=TRUE</formula>
    </cfRule>
    <cfRule type="expression" dxfId="19" priority="33">
      <formula>ISTEXT($C14)=TRUE</formula>
    </cfRule>
  </conditionalFormatting>
  <conditionalFormatting sqref="L12:L13">
    <cfRule type="expression" dxfId="18" priority="24">
      <formula>ISTEXT($A11)=TRUE</formula>
    </cfRule>
    <cfRule type="expression" dxfId="17" priority="25">
      <formula>ISTEXT($C11)=TRUE</formula>
    </cfRule>
  </conditionalFormatting>
  <conditionalFormatting sqref="L15">
    <cfRule type="expression" dxfId="16" priority="22">
      <formula>ISTEXT($A14)=TRUE</formula>
    </cfRule>
    <cfRule type="expression" dxfId="15" priority="23">
      <formula>ISTEXT($C14)=TRUE</formula>
    </cfRule>
  </conditionalFormatting>
  <conditionalFormatting sqref="K13">
    <cfRule type="expression" dxfId="14" priority="20">
      <formula>ISTEXT($A12)=TRUE</formula>
    </cfRule>
    <cfRule type="expression" dxfId="13" priority="21">
      <formula>ISTEXT($C12)=TRUE</formula>
    </cfRule>
  </conditionalFormatting>
  <conditionalFormatting sqref="K14">
    <cfRule type="expression" dxfId="12" priority="16">
      <formula>ISTEXT($A13)=TRUE</formula>
    </cfRule>
    <cfRule type="expression" dxfId="11" priority="17">
      <formula>ISTEXT($C13)=TRUE</formula>
    </cfRule>
  </conditionalFormatting>
  <conditionalFormatting sqref="L14">
    <cfRule type="expression" dxfId="10" priority="14">
      <formula>ISTEXT($A13)=TRUE</formula>
    </cfRule>
    <cfRule type="expression" dxfId="9" priority="15">
      <formula>ISTEXT($C13)=TRUE</formula>
    </cfRule>
  </conditionalFormatting>
  <conditionalFormatting sqref="B7">
    <cfRule type="expression" dxfId="8" priority="5">
      <formula>ISTEXT($A7)=TRUE</formula>
    </cfRule>
    <cfRule type="expression" dxfId="7" priority="6">
      <formula>ISTEXT($C7)=TRUE</formula>
    </cfRule>
  </conditionalFormatting>
  <conditionalFormatting sqref="H7">
    <cfRule type="expression" dxfId="6" priority="7">
      <formula>$G7+$I7&gt;0</formula>
    </cfRule>
    <cfRule type="expression" dxfId="5" priority="8">
      <formula>ISTEXT($C7)=TRUE</formula>
    </cfRule>
  </conditionalFormatting>
  <conditionalFormatting sqref="E7">
    <cfRule type="expression" dxfId="4" priority="13">
      <formula>#REF!="Chyba"</formula>
    </cfRule>
  </conditionalFormatting>
  <conditionalFormatting sqref="F5:F7">
    <cfRule type="expression" dxfId="3" priority="4">
      <formula>AND(YEAR($E5)&lt;$B$8,F5&lt;&gt;"")</formula>
    </cfRule>
  </conditionalFormatting>
  <conditionalFormatting sqref="G5:G7">
    <cfRule type="cellIs" dxfId="2" priority="3" operator="lessThan">
      <formula>$F$4</formula>
    </cfRule>
  </conditionalFormatting>
  <dataValidations count="15">
    <dataValidation type="date" operator="greaterThanOrEqual" allowBlank="1" showInputMessage="1" showErrorMessage="1" errorTitle="Špatný datum" error="Uvedené datum dokončení realizace SO je v rozporu s datem pro zahájení realizace SO." prompt="Datum ukončení realizace nebo čerpání finančních prostředků pro daný SO." sqref="G4:G7">
      <formula1>F4</formula1>
    </dataValidation>
    <dataValidation allowBlank="1" showInputMessage="1" showErrorMessage="1" prompt="Číslo SO ve formátu_x000a_SO-XX-XX-XX" sqref="C4:C6"/>
    <dataValidation allowBlank="1" showInputMessage="1" showErrorMessage="1" prompt="Název staveního objektu BEZ čísla SO." sqref="D4:D6"/>
    <dataValidation type="date" operator="lessThanOrEqual" allowBlank="1" showInputMessage="1" showErrorMessage="1" error="Uvedený datum realizace SO je v rozporu s datem ukončení SO!" prompt="Datum zahájení realizace nebo čerpání finančních prostředků pro daný SO." sqref="F4:F7">
      <formula1>G4</formula1>
    </dataValidation>
    <dataValidation type="list" allowBlank="1" showInputMessage="1" showErrorMessage="1" error="Kategorie nenalezena!_x000a_" prompt="Monitorovací kategorie dle výběru." sqref="B4:B7 L7:L10">
      <formula1>"E.1.1.1,E.1.1.2,E.1.2,E.1.3,E.1.4,E.1.5,E.1.6,E.1.7,E.1.8,E.1.9,E.1.10,E.2,E.3.1,E.3.2,E.3.3,E.3.4,E.3.5,E.3.6,E.3.7,E.3.8,E.3.9"</formula1>
    </dataValidation>
    <dataValidation type="list" allowBlank="1" showInputMessage="1" showErrorMessage="1" prompt="Označení majetku SŽDC nebo Ostatní provedeno pouze výběrem._x000a_" sqref="E4:E6 E12">
      <formula1>"SŽDC,Ostatní"</formula1>
    </dataValidation>
    <dataValidation type="date" operator="greaterThanOrEqual" allowBlank="1" showInputMessage="1" showErrorMessage="1" errorTitle="Špatný datum" error="Uvedené datum dokončení realizace SO je v rozporu s datem pro zahájení realizace SO." sqref="G3">
      <formula1>F3</formula1>
    </dataValidation>
    <dataValidation type="list" allowBlank="1" showInputMessage="1" showErrorMessage="1" sqref="B3">
      <formula1>"E.1.1.1,E.1.1.2,E.1.2,E.1.3,E.1.4,E.1.5,E.1.6,E.1.7,E.1.8,E.1.9,E.1.10,E.2,E.3.1,E.3.2,E.3.3,E.3.4,E.3.5,E.3.6,E.3.7,E.3.8,E.3.9"</formula1>
    </dataValidation>
    <dataValidation type="list" allowBlank="1" showInputMessage="1" showErrorMessage="1" sqref="B11">
      <formula1>"D.1,D.2,D.3,D.4"</formula1>
    </dataValidation>
    <dataValidation type="date" operator="greaterThanOrEqual" allowBlank="1" showInputMessage="1" showErrorMessage="1" errorTitle="Špatný datum" error="Uvedené datum dokončení realizace PS je v rozporu s datem pro zahájení realizace PS." sqref="G11">
      <formula1>F11</formula1>
    </dataValidation>
    <dataValidation type="list" allowBlank="1" showInputMessage="1" showErrorMessage="1" error="Kategorie nenalezena." prompt="Monitorovací kategorie dle výběru." sqref="B12 L11">
      <formula1>"D.1,D.2,D.3,D.4"</formula1>
    </dataValidation>
    <dataValidation type="date" operator="greaterThanOrEqual" allowBlank="1" showInputMessage="1" showErrorMessage="1" errorTitle="Špatný datum" error="Uvedené datum dokončení realizace PS je v rozporu s datem pro zahájení realizace PS." prompt="Datum ukončení realizace nebo čerpání finančních prostředků pro daný PS." sqref="G12">
      <formula1>F12</formula1>
    </dataValidation>
    <dataValidation type="date" operator="lessThanOrEqual" allowBlank="1" showInputMessage="1" showErrorMessage="1" error="Uvedený datum realizace PS je v rozporu s datem ukončení PS!" prompt="Datum zahájení realizace nebo čerpání finančních prostředků pro daný PS." sqref="F12">
      <formula1>G12</formula1>
    </dataValidation>
    <dataValidation allowBlank="1" showInputMessage="1" showErrorMessage="1" prompt="Číslo PS ve formátu_x000a_PS-XX-XX-XX" sqref="C12"/>
    <dataValidation allowBlank="1" showInputMessage="1" showErrorMessage="1" prompt="Název provozního souboru BEZ čísla PS." sqref="D12"/>
  </dataValidation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3</vt:i4>
      </vt:variant>
    </vt:vector>
  </HeadingPairs>
  <TitlesOfParts>
    <vt:vector size="9" baseType="lpstr">
      <vt:lpstr>Náklady související</vt:lpstr>
      <vt:lpstr>Požadavky na výkon a fukci P+R</vt:lpstr>
      <vt:lpstr>SO 98-98</vt:lpstr>
      <vt:lpstr>Náklady stavební</vt:lpstr>
      <vt:lpstr>Tabulky stavby</vt:lpstr>
      <vt:lpstr>Stavebni_naklady</vt:lpstr>
      <vt:lpstr>'Požadavky na výkon a fukci P+R'!Názvy_tisku</vt:lpstr>
      <vt:lpstr>'Požadavky na výkon a fukci P+R'!Oblast_tisku</vt:lpstr>
      <vt:lpstr>'SO 98-98'!Oblast_tisku</vt:lpstr>
    </vt:vector>
  </TitlesOfParts>
  <Company>S-Engineering s.r.o.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Mariana Salavová</dc:creator>
  <cp:lastModifiedBy>Techmanová Jaroslava, Bc.</cp:lastModifiedBy>
  <cp:lastPrinted>2020-11-23T15:26:30Z</cp:lastPrinted>
  <dcterms:created xsi:type="dcterms:W3CDTF">2020-09-06T07:23:32Z</dcterms:created>
  <dcterms:modified xsi:type="dcterms:W3CDTF">2020-12-10T14:58:32Z</dcterms:modified>
</cp:coreProperties>
</file>