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jan.capek\d1374141\"/>
    </mc:Choice>
  </mc:AlternateContent>
  <xr:revisionPtr revIDLastSave="0" documentId="13_ncr:1_{B60A022D-6813-4DCA-BE70-4CBC150C702D}" xr6:coauthVersionLast="47" xr6:coauthVersionMax="47" xr10:uidLastSave="{00000000-0000-0000-0000-000000000000}"/>
  <bookViews>
    <workbookView xWindow="5130" yWindow="180" windowWidth="53295" windowHeight="21570" activeTab="3" xr2:uid="{00000000-000D-0000-FFFF-FFFF00000000}"/>
  </bookViews>
  <sheets>
    <sheet name="Šachty" sheetId="2" r:id="rId1"/>
    <sheet name="Mezišachetní úsek" sheetId="4" r:id="rId2"/>
    <sheet name="02_Bet_meziš" sheetId="7" r:id="rId3"/>
    <sheet name="02_Bet_šachty" sheetId="6" r:id="rId4"/>
    <sheet name="List1" sheetId="5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4" l="1"/>
  <c r="I25" i="4"/>
  <c r="Q11" i="4"/>
  <c r="AE5" i="6" l="1"/>
  <c r="AE6" i="6"/>
  <c r="AE7" i="6"/>
  <c r="AE8" i="6"/>
  <c r="AE9" i="6"/>
  <c r="AG27" i="6"/>
  <c r="AH27" i="6"/>
  <c r="BF23" i="7"/>
  <c r="BF39" i="7"/>
  <c r="BF46" i="7"/>
  <c r="BF47" i="7"/>
  <c r="BI47" i="7" s="1"/>
  <c r="BF54" i="7"/>
  <c r="BF55" i="7"/>
  <c r="BF62" i="7"/>
  <c r="BF63" i="7"/>
  <c r="BF70" i="7"/>
  <c r="BF71" i="7"/>
  <c r="BF78" i="7"/>
  <c r="BF79" i="7"/>
  <c r="BF86" i="7"/>
  <c r="BF87" i="7"/>
  <c r="BF94" i="7"/>
  <c r="BF95" i="7"/>
  <c r="BM23" i="7"/>
  <c r="BM36" i="7"/>
  <c r="BM37" i="7"/>
  <c r="BM39" i="7"/>
  <c r="BM40" i="7"/>
  <c r="BM41" i="7"/>
  <c r="BM43" i="7"/>
  <c r="BM44" i="7"/>
  <c r="BM45" i="7"/>
  <c r="BM46" i="7"/>
  <c r="BM47" i="7"/>
  <c r="BM48" i="7"/>
  <c r="BM49" i="7"/>
  <c r="BM50" i="7"/>
  <c r="BM51" i="7"/>
  <c r="BM53" i="7"/>
  <c r="BM54" i="7"/>
  <c r="BM55" i="7"/>
  <c r="BM56" i="7"/>
  <c r="BM61" i="7"/>
  <c r="BM62" i="7"/>
  <c r="BM69" i="7"/>
  <c r="BM70" i="7"/>
  <c r="BM72" i="7"/>
  <c r="BM76" i="7"/>
  <c r="BM78" i="7"/>
  <c r="BM86" i="7"/>
  <c r="BM93" i="7"/>
  <c r="BM94" i="7"/>
  <c r="BM98" i="7"/>
  <c r="BK23" i="7"/>
  <c r="BK36" i="7"/>
  <c r="BK37" i="7"/>
  <c r="BK38" i="7"/>
  <c r="BK39" i="7"/>
  <c r="BK40" i="7"/>
  <c r="BK41" i="7"/>
  <c r="BK43" i="7"/>
  <c r="BK44" i="7"/>
  <c r="BK45" i="7"/>
  <c r="BK46" i="7"/>
  <c r="BK48" i="7"/>
  <c r="BK49" i="7"/>
  <c r="BK50" i="7"/>
  <c r="BK51" i="7"/>
  <c r="BK53" i="7"/>
  <c r="BK54" i="7"/>
  <c r="BK55" i="7"/>
  <c r="BK56" i="7"/>
  <c r="BK59" i="7"/>
  <c r="BK61" i="7"/>
  <c r="BK62" i="7"/>
  <c r="BK63" i="7"/>
  <c r="BK64" i="7"/>
  <c r="BK65" i="7"/>
  <c r="BK66" i="7"/>
  <c r="BK67" i="7"/>
  <c r="BK68" i="7"/>
  <c r="BK69" i="7"/>
  <c r="BK70" i="7"/>
  <c r="BK71" i="7"/>
  <c r="BK72" i="7"/>
  <c r="BK73" i="7"/>
  <c r="BK74" i="7"/>
  <c r="BK75" i="7"/>
  <c r="BK76" i="7"/>
  <c r="BK77" i="7"/>
  <c r="BK78" i="7"/>
  <c r="BK79" i="7"/>
  <c r="BK80" i="7"/>
  <c r="BK81" i="7"/>
  <c r="BK82" i="7"/>
  <c r="BK83" i="7"/>
  <c r="BK84" i="7"/>
  <c r="BK85" i="7"/>
  <c r="BK86" i="7"/>
  <c r="BK87" i="7"/>
  <c r="BK88" i="7"/>
  <c r="BK89" i="7"/>
  <c r="BK90" i="7"/>
  <c r="BK91" i="7"/>
  <c r="BK92" i="7"/>
  <c r="BK93" i="7"/>
  <c r="BK94" i="7"/>
  <c r="BK95" i="7"/>
  <c r="BK96" i="7"/>
  <c r="BK97" i="7"/>
  <c r="BK98" i="7"/>
  <c r="BI23" i="7"/>
  <c r="BI37" i="7"/>
  <c r="BI41" i="7"/>
  <c r="BI43" i="7"/>
  <c r="BI45" i="7"/>
  <c r="BI50" i="7"/>
  <c r="BI51" i="7"/>
  <c r="BI53" i="7"/>
  <c r="BI55" i="7"/>
  <c r="BI58" i="7"/>
  <c r="BI59" i="7"/>
  <c r="BI61" i="7"/>
  <c r="BI63" i="7"/>
  <c r="BI66" i="7"/>
  <c r="BI74" i="7"/>
  <c r="BI75" i="7"/>
  <c r="BI82" i="7"/>
  <c r="BI83" i="7"/>
  <c r="BI90" i="7"/>
  <c r="BI91" i="7"/>
  <c r="BI98" i="7"/>
  <c r="AD9" i="6"/>
  <c r="AC9" i="6"/>
  <c r="AC8" i="6"/>
  <c r="AC7" i="6"/>
  <c r="AX28" i="6"/>
  <c r="AX40" i="6"/>
  <c r="AX43" i="6"/>
  <c r="AX44" i="6"/>
  <c r="AX46" i="6"/>
  <c r="AX47" i="6"/>
  <c r="AX49" i="6"/>
  <c r="AX50" i="6"/>
  <c r="AX53" i="6"/>
  <c r="AX62" i="6"/>
  <c r="AX63" i="6"/>
  <c r="AX64" i="6"/>
  <c r="AX71" i="6"/>
  <c r="AX26" i="6"/>
  <c r="AW26" i="6"/>
  <c r="AU43" i="6"/>
  <c r="AU46" i="6"/>
  <c r="AU49" i="6"/>
  <c r="AU53" i="6"/>
  <c r="AU62" i="6"/>
  <c r="AU63" i="6"/>
  <c r="AU64" i="6"/>
  <c r="AU67" i="6"/>
  <c r="AU68" i="6"/>
  <c r="AU69" i="6"/>
  <c r="AU71" i="6"/>
  <c r="AP26" i="6"/>
  <c r="AS26" i="6" s="1"/>
  <c r="P27" i="6"/>
  <c r="AN27" i="6" s="1"/>
  <c r="BD54" i="7"/>
  <c r="BE23" i="7"/>
  <c r="BH23" i="7" s="1"/>
  <c r="BE24" i="7"/>
  <c r="BH24" i="7" s="1"/>
  <c r="BE25" i="7"/>
  <c r="BH25" i="7" s="1"/>
  <c r="BE26" i="7"/>
  <c r="BH26" i="7" s="1"/>
  <c r="BE27" i="7"/>
  <c r="BE28" i="7"/>
  <c r="BH28" i="7" s="1"/>
  <c r="BE29" i="7"/>
  <c r="BH29" i="7" s="1"/>
  <c r="BE30" i="7"/>
  <c r="BH30" i="7" s="1"/>
  <c r="BE31" i="7"/>
  <c r="BH31" i="7" s="1"/>
  <c r="BE32" i="7"/>
  <c r="BH32" i="7" s="1"/>
  <c r="BE33" i="7"/>
  <c r="BH33" i="7" s="1"/>
  <c r="BE34" i="7"/>
  <c r="BH34" i="7" s="1"/>
  <c r="BE35" i="7"/>
  <c r="BH35" i="7" s="1"/>
  <c r="BE36" i="7"/>
  <c r="BH36" i="7" s="1"/>
  <c r="BI36" i="7" s="1"/>
  <c r="BE37" i="7"/>
  <c r="BH37" i="7" s="1"/>
  <c r="BE38" i="7"/>
  <c r="BH38" i="7" s="1"/>
  <c r="BE39" i="7"/>
  <c r="BH39" i="7" s="1"/>
  <c r="BI39" i="7" s="1"/>
  <c r="BE40" i="7"/>
  <c r="BH40" i="7" s="1"/>
  <c r="BI40" i="7" s="1"/>
  <c r="BE41" i="7"/>
  <c r="BH41" i="7" s="1"/>
  <c r="BE42" i="7"/>
  <c r="BH42" i="7" s="1"/>
  <c r="BE43" i="7"/>
  <c r="BH43" i="7" s="1"/>
  <c r="BE44" i="7"/>
  <c r="BH44" i="7" s="1"/>
  <c r="BI44" i="7" s="1"/>
  <c r="BE45" i="7"/>
  <c r="BH45" i="7" s="1"/>
  <c r="BE46" i="7"/>
  <c r="BH46" i="7" s="1"/>
  <c r="BI46" i="7" s="1"/>
  <c r="BE47" i="7"/>
  <c r="BH47" i="7" s="1"/>
  <c r="BE48" i="7"/>
  <c r="BH48" i="7" s="1"/>
  <c r="BI48" i="7" s="1"/>
  <c r="BE49" i="7"/>
  <c r="BH49" i="7" s="1"/>
  <c r="BI49" i="7" s="1"/>
  <c r="BE50" i="7"/>
  <c r="BH50" i="7" s="1"/>
  <c r="BE51" i="7"/>
  <c r="BH51" i="7" s="1"/>
  <c r="BE52" i="7"/>
  <c r="BH52" i="7" s="1"/>
  <c r="BE53" i="7"/>
  <c r="BH53" i="7" s="1"/>
  <c r="BE54" i="7"/>
  <c r="BH54" i="7" s="1"/>
  <c r="BI54" i="7" s="1"/>
  <c r="BE55" i="7"/>
  <c r="BH55" i="7" s="1"/>
  <c r="BE56" i="7"/>
  <c r="BH56" i="7" s="1"/>
  <c r="BI56" i="7" s="1"/>
  <c r="BE57" i="7"/>
  <c r="BH57" i="7" s="1"/>
  <c r="BE58" i="7"/>
  <c r="BH58" i="7" s="1"/>
  <c r="BE59" i="7"/>
  <c r="BH59" i="7" s="1"/>
  <c r="BE60" i="7"/>
  <c r="BH60" i="7" s="1"/>
  <c r="BE61" i="7"/>
  <c r="BH61" i="7" s="1"/>
  <c r="BE62" i="7"/>
  <c r="BH62" i="7" s="1"/>
  <c r="BI62" i="7" s="1"/>
  <c r="BE63" i="7"/>
  <c r="BH63" i="7" s="1"/>
  <c r="BE64" i="7"/>
  <c r="BH64" i="7" s="1"/>
  <c r="BI64" i="7" s="1"/>
  <c r="BE65" i="7"/>
  <c r="BH65" i="7" s="1"/>
  <c r="BI65" i="7" s="1"/>
  <c r="BE66" i="7"/>
  <c r="BH66" i="7" s="1"/>
  <c r="BE67" i="7"/>
  <c r="BF67" i="7" s="1"/>
  <c r="BE68" i="7"/>
  <c r="BH68" i="7" s="1"/>
  <c r="BI68" i="7" s="1"/>
  <c r="BE70" i="7"/>
  <c r="BH70" i="7" s="1"/>
  <c r="BI70" i="7" s="1"/>
  <c r="BE71" i="7"/>
  <c r="BH71" i="7" s="1"/>
  <c r="BI71" i="7" s="1"/>
  <c r="BE72" i="7"/>
  <c r="BH72" i="7" s="1"/>
  <c r="BI72" i="7" s="1"/>
  <c r="BE73" i="7"/>
  <c r="BF73" i="7" s="1"/>
  <c r="BE74" i="7"/>
  <c r="BH74" i="7" s="1"/>
  <c r="BE75" i="7"/>
  <c r="BH75" i="7" s="1"/>
  <c r="BE76" i="7"/>
  <c r="BH76" i="7" s="1"/>
  <c r="BI76" i="7" s="1"/>
  <c r="BE77" i="7"/>
  <c r="BH77" i="7" s="1"/>
  <c r="BI77" i="7" s="1"/>
  <c r="BE78" i="7"/>
  <c r="BH78" i="7" s="1"/>
  <c r="BI78" i="7" s="1"/>
  <c r="BE79" i="7"/>
  <c r="BH79" i="7" s="1"/>
  <c r="BI79" i="7" s="1"/>
  <c r="BE80" i="7"/>
  <c r="BH80" i="7" s="1"/>
  <c r="BI80" i="7" s="1"/>
  <c r="BE81" i="7"/>
  <c r="BF81" i="7" s="1"/>
  <c r="BE82" i="7"/>
  <c r="BH82" i="7" s="1"/>
  <c r="BE83" i="7"/>
  <c r="BH83" i="7" s="1"/>
  <c r="BE84" i="7"/>
  <c r="BH84" i="7" s="1"/>
  <c r="BI84" i="7" s="1"/>
  <c r="BE85" i="7"/>
  <c r="BH85" i="7" s="1"/>
  <c r="BI85" i="7" s="1"/>
  <c r="BE86" i="7"/>
  <c r="BH86" i="7" s="1"/>
  <c r="BI86" i="7" s="1"/>
  <c r="BE87" i="7"/>
  <c r="BH87" i="7" s="1"/>
  <c r="BI87" i="7" s="1"/>
  <c r="BE88" i="7"/>
  <c r="BH88" i="7" s="1"/>
  <c r="BI88" i="7" s="1"/>
  <c r="BE89" i="7"/>
  <c r="BH89" i="7" s="1"/>
  <c r="BI89" i="7" s="1"/>
  <c r="BE90" i="7"/>
  <c r="BH90" i="7" s="1"/>
  <c r="BE91" i="7"/>
  <c r="BH91" i="7" s="1"/>
  <c r="BE92" i="7"/>
  <c r="BH92" i="7" s="1"/>
  <c r="BI92" i="7" s="1"/>
  <c r="BE93" i="7"/>
  <c r="BH93" i="7" s="1"/>
  <c r="BI93" i="7" s="1"/>
  <c r="BE94" i="7"/>
  <c r="BH94" i="7" s="1"/>
  <c r="BI94" i="7" s="1"/>
  <c r="BE95" i="7"/>
  <c r="BH95" i="7" s="1"/>
  <c r="BI95" i="7" s="1"/>
  <c r="BE96" i="7"/>
  <c r="BH96" i="7" s="1"/>
  <c r="BI96" i="7" s="1"/>
  <c r="BE97" i="7"/>
  <c r="BF97" i="7" s="1"/>
  <c r="BE98" i="7"/>
  <c r="BH98" i="7" s="1"/>
  <c r="BE22" i="7"/>
  <c r="BH22" i="7" s="1"/>
  <c r="AR26" i="6"/>
  <c r="AT26" i="6"/>
  <c r="AU26" i="6" s="1"/>
  <c r="AN26" i="6"/>
  <c r="AZ23" i="7"/>
  <c r="AZ36" i="7"/>
  <c r="AZ37" i="7"/>
  <c r="AZ38" i="7"/>
  <c r="AZ39" i="7"/>
  <c r="AZ40" i="7"/>
  <c r="AZ41" i="7"/>
  <c r="AZ43" i="7"/>
  <c r="AZ44" i="7"/>
  <c r="AZ45" i="7"/>
  <c r="AZ46" i="7"/>
  <c r="AZ48" i="7"/>
  <c r="AZ49" i="7"/>
  <c r="AZ50" i="7"/>
  <c r="AZ51" i="7"/>
  <c r="AZ53" i="7"/>
  <c r="AZ54" i="7"/>
  <c r="AZ55" i="7"/>
  <c r="AZ56" i="7"/>
  <c r="AZ58" i="7"/>
  <c r="AZ59" i="7"/>
  <c r="AZ61" i="7"/>
  <c r="AZ62" i="7"/>
  <c r="AZ63" i="7"/>
  <c r="AZ64" i="7"/>
  <c r="AZ65" i="7"/>
  <c r="AZ66" i="7"/>
  <c r="AZ67" i="7"/>
  <c r="AZ68" i="7"/>
  <c r="AZ69" i="7"/>
  <c r="AZ70" i="7"/>
  <c r="AZ71" i="7"/>
  <c r="AZ72" i="7"/>
  <c r="AZ73" i="7"/>
  <c r="AZ74" i="7"/>
  <c r="AZ75" i="7"/>
  <c r="AZ76" i="7"/>
  <c r="AZ77" i="7"/>
  <c r="AZ78" i="7"/>
  <c r="AZ79" i="7"/>
  <c r="AZ80" i="7"/>
  <c r="AZ81" i="7"/>
  <c r="AZ82" i="7"/>
  <c r="AZ83" i="7"/>
  <c r="AZ84" i="7"/>
  <c r="AZ85" i="7"/>
  <c r="AZ86" i="7"/>
  <c r="AZ87" i="7"/>
  <c r="AZ88" i="7"/>
  <c r="AZ89" i="7"/>
  <c r="AZ90" i="7"/>
  <c r="AZ91" i="7"/>
  <c r="AZ92" i="7"/>
  <c r="AZ93" i="7"/>
  <c r="AZ94" i="7"/>
  <c r="AZ95" i="7"/>
  <c r="AZ96" i="7"/>
  <c r="AZ97" i="7"/>
  <c r="AZ98" i="7"/>
  <c r="AW41" i="7"/>
  <c r="AW46" i="7"/>
  <c r="AW51" i="7"/>
  <c r="AW56" i="7"/>
  <c r="AW61" i="7"/>
  <c r="AW69" i="7"/>
  <c r="AW72" i="7"/>
  <c r="AW76" i="7"/>
  <c r="AW78" i="7"/>
  <c r="AW93" i="7"/>
  <c r="AW98" i="7"/>
  <c r="AU41" i="7"/>
  <c r="AU46" i="7"/>
  <c r="AU51" i="7"/>
  <c r="AU56" i="7"/>
  <c r="AU61" i="7"/>
  <c r="AU69" i="7"/>
  <c r="AU72" i="7"/>
  <c r="AU76" i="7"/>
  <c r="AU78" i="7"/>
  <c r="AU93" i="7"/>
  <c r="AU98" i="7"/>
  <c r="AQ23" i="7"/>
  <c r="AQ24" i="7"/>
  <c r="AQ25" i="7"/>
  <c r="AQ26" i="7"/>
  <c r="AQ27" i="7"/>
  <c r="AQ28" i="7"/>
  <c r="AQ29" i="7"/>
  <c r="AQ30" i="7"/>
  <c r="AQ31" i="7"/>
  <c r="AQ32" i="7"/>
  <c r="AQ33" i="7"/>
  <c r="AQ34" i="7"/>
  <c r="AQ35" i="7"/>
  <c r="AQ36" i="7"/>
  <c r="AQ37" i="7"/>
  <c r="AQ38" i="7"/>
  <c r="AQ39" i="7"/>
  <c r="AQ40" i="7"/>
  <c r="AQ41" i="7"/>
  <c r="AQ42" i="7"/>
  <c r="AQ43" i="7"/>
  <c r="AQ44" i="7"/>
  <c r="AQ45" i="7"/>
  <c r="AQ46" i="7"/>
  <c r="AQ47" i="7"/>
  <c r="AQ48" i="7"/>
  <c r="AQ49" i="7"/>
  <c r="AQ50" i="7"/>
  <c r="AQ51" i="7"/>
  <c r="AQ52" i="7"/>
  <c r="AQ53" i="7"/>
  <c r="AQ54" i="7"/>
  <c r="AQ55" i="7"/>
  <c r="AQ56" i="7"/>
  <c r="AQ57" i="7"/>
  <c r="AQ58" i="7"/>
  <c r="AQ59" i="7"/>
  <c r="AQ60" i="7"/>
  <c r="AQ61" i="7"/>
  <c r="AQ62" i="7"/>
  <c r="AQ63" i="7"/>
  <c r="AQ64" i="7"/>
  <c r="AQ65" i="7"/>
  <c r="AQ66" i="7"/>
  <c r="AQ67" i="7"/>
  <c r="AQ68" i="7"/>
  <c r="AQ69" i="7"/>
  <c r="AQ70" i="7"/>
  <c r="AQ71" i="7"/>
  <c r="AQ72" i="7"/>
  <c r="AQ73" i="7"/>
  <c r="AQ74" i="7"/>
  <c r="AQ75" i="7"/>
  <c r="AQ76" i="7"/>
  <c r="AQ77" i="7"/>
  <c r="AQ78" i="7"/>
  <c r="AQ79" i="7"/>
  <c r="AQ80" i="7"/>
  <c r="AQ81" i="7"/>
  <c r="AQ82" i="7"/>
  <c r="AQ83" i="7"/>
  <c r="AQ84" i="7"/>
  <c r="AQ85" i="7"/>
  <c r="AQ86" i="7"/>
  <c r="AQ87" i="7"/>
  <c r="AQ88" i="7"/>
  <c r="AQ89" i="7"/>
  <c r="AQ90" i="7"/>
  <c r="AQ91" i="7"/>
  <c r="AQ92" i="7"/>
  <c r="AQ93" i="7"/>
  <c r="AQ94" i="7"/>
  <c r="AQ95" i="7"/>
  <c r="AQ96" i="7"/>
  <c r="AQ97" i="7"/>
  <c r="AQ98" i="7"/>
  <c r="AQ22" i="7"/>
  <c r="AK44" i="7"/>
  <c r="AU44" i="7" s="1"/>
  <c r="AW44" i="7" s="1"/>
  <c r="AK47" i="7"/>
  <c r="AU47" i="7" s="1"/>
  <c r="BK47" i="7" s="1"/>
  <c r="AK48" i="7"/>
  <c r="AU48" i="7" s="1"/>
  <c r="AW48" i="7" s="1"/>
  <c r="AK50" i="7"/>
  <c r="AU50" i="7" s="1"/>
  <c r="AW50" i="7" s="1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C43" i="7"/>
  <c r="AC44" i="7"/>
  <c r="AC45" i="7"/>
  <c r="AC46" i="7"/>
  <c r="AC47" i="7"/>
  <c r="AC48" i="7"/>
  <c r="AC49" i="7"/>
  <c r="AC50" i="7"/>
  <c r="AC51" i="7"/>
  <c r="AC52" i="7"/>
  <c r="AC53" i="7"/>
  <c r="AC54" i="7"/>
  <c r="AC55" i="7"/>
  <c r="AC56" i="7"/>
  <c r="AC57" i="7"/>
  <c r="AC58" i="7"/>
  <c r="AC59" i="7"/>
  <c r="AC60" i="7"/>
  <c r="AC61" i="7"/>
  <c r="AC62" i="7"/>
  <c r="AC63" i="7"/>
  <c r="AC64" i="7"/>
  <c r="AC65" i="7"/>
  <c r="AC66" i="7"/>
  <c r="AC67" i="7"/>
  <c r="AC68" i="7"/>
  <c r="AC69" i="7"/>
  <c r="AC70" i="7"/>
  <c r="AC71" i="7"/>
  <c r="AC72" i="7"/>
  <c r="AC73" i="7"/>
  <c r="AC74" i="7"/>
  <c r="AC75" i="7"/>
  <c r="AC76" i="7"/>
  <c r="AC77" i="7"/>
  <c r="AC78" i="7"/>
  <c r="AC79" i="7"/>
  <c r="AC80" i="7"/>
  <c r="AC81" i="7"/>
  <c r="AC82" i="7"/>
  <c r="AC83" i="7"/>
  <c r="AC84" i="7"/>
  <c r="AC85" i="7"/>
  <c r="AC86" i="7"/>
  <c r="AC87" i="7"/>
  <c r="AC88" i="7"/>
  <c r="AC89" i="7"/>
  <c r="AC90" i="7"/>
  <c r="AC91" i="7"/>
  <c r="AC92" i="7"/>
  <c r="AC93" i="7"/>
  <c r="AC94" i="7"/>
  <c r="AC95" i="7"/>
  <c r="AC96" i="7"/>
  <c r="AC97" i="7"/>
  <c r="AC98" i="7"/>
  <c r="AC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40" i="7"/>
  <c r="X41" i="7"/>
  <c r="X42" i="7"/>
  <c r="X43" i="7"/>
  <c r="X44" i="7"/>
  <c r="X45" i="7"/>
  <c r="X46" i="7"/>
  <c r="AO46" i="7" s="1"/>
  <c r="X47" i="7"/>
  <c r="X48" i="7"/>
  <c r="X49" i="7"/>
  <c r="X50" i="7"/>
  <c r="X51" i="7"/>
  <c r="AO51" i="7" s="1"/>
  <c r="X52" i="7"/>
  <c r="X53" i="7"/>
  <c r="X54" i="7"/>
  <c r="X55" i="7"/>
  <c r="X56" i="7"/>
  <c r="X57" i="7"/>
  <c r="X58" i="7"/>
  <c r="X59" i="7"/>
  <c r="X60" i="7"/>
  <c r="X61" i="7"/>
  <c r="X62" i="7"/>
  <c r="X63" i="7"/>
  <c r="X64" i="7"/>
  <c r="X65" i="7"/>
  <c r="X66" i="7"/>
  <c r="X67" i="7"/>
  <c r="X68" i="7"/>
  <c r="X69" i="7"/>
  <c r="AN69" i="7" s="1"/>
  <c r="AO69" i="7" s="1"/>
  <c r="X70" i="7"/>
  <c r="X71" i="7"/>
  <c r="X72" i="7"/>
  <c r="X73" i="7"/>
  <c r="X74" i="7"/>
  <c r="X75" i="7"/>
  <c r="X76" i="7"/>
  <c r="X77" i="7"/>
  <c r="X78" i="7"/>
  <c r="X79" i="7"/>
  <c r="X80" i="7"/>
  <c r="X81" i="7"/>
  <c r="X82" i="7"/>
  <c r="X83" i="7"/>
  <c r="X84" i="7"/>
  <c r="X85" i="7"/>
  <c r="X86" i="7"/>
  <c r="X87" i="7"/>
  <c r="X88" i="7"/>
  <c r="X89" i="7"/>
  <c r="X90" i="7"/>
  <c r="X91" i="7"/>
  <c r="X92" i="7"/>
  <c r="X93" i="7"/>
  <c r="X94" i="7"/>
  <c r="X95" i="7"/>
  <c r="X96" i="7"/>
  <c r="X97" i="7"/>
  <c r="X98" i="7"/>
  <c r="X22" i="7"/>
  <c r="X19" i="7"/>
  <c r="U23" i="7"/>
  <c r="F23" i="7" s="1"/>
  <c r="V23" i="7"/>
  <c r="G23" i="7" s="1"/>
  <c r="AB23" i="7" s="1"/>
  <c r="W23" i="7"/>
  <c r="AI23" i="7" s="1"/>
  <c r="U24" i="7"/>
  <c r="F24" i="7" s="1"/>
  <c r="V24" i="7"/>
  <c r="G24" i="7" s="1"/>
  <c r="AB24" i="7" s="1"/>
  <c r="W24" i="7"/>
  <c r="AI24" i="7" s="1"/>
  <c r="U25" i="7"/>
  <c r="F25" i="7" s="1"/>
  <c r="V25" i="7"/>
  <c r="G25" i="7" s="1"/>
  <c r="AB25" i="7" s="1"/>
  <c r="W25" i="7"/>
  <c r="AI25" i="7" s="1"/>
  <c r="U26" i="7"/>
  <c r="F26" i="7" s="1"/>
  <c r="V26" i="7"/>
  <c r="G26" i="7" s="1"/>
  <c r="AB26" i="7" s="1"/>
  <c r="W26" i="7"/>
  <c r="AI26" i="7" s="1"/>
  <c r="U27" i="7"/>
  <c r="F27" i="7" s="1"/>
  <c r="V27" i="7"/>
  <c r="G27" i="7" s="1"/>
  <c r="AB27" i="7" s="1"/>
  <c r="W27" i="7"/>
  <c r="AI27" i="7" s="1"/>
  <c r="U28" i="7"/>
  <c r="F28" i="7" s="1"/>
  <c r="V28" i="7"/>
  <c r="G28" i="7" s="1"/>
  <c r="AB28" i="7" s="1"/>
  <c r="W28" i="7"/>
  <c r="AI28" i="7" s="1"/>
  <c r="U29" i="7"/>
  <c r="F29" i="7" s="1"/>
  <c r="AA29" i="7" s="1"/>
  <c r="BM29" i="7" s="1"/>
  <c r="V29" i="7"/>
  <c r="G29" i="7" s="1"/>
  <c r="AB29" i="7" s="1"/>
  <c r="W29" i="7"/>
  <c r="AI29" i="7" s="1"/>
  <c r="U30" i="7"/>
  <c r="F30" i="7" s="1"/>
  <c r="V30" i="7"/>
  <c r="G30" i="7" s="1"/>
  <c r="AB30" i="7" s="1"/>
  <c r="W30" i="7"/>
  <c r="AI30" i="7" s="1"/>
  <c r="U31" i="7"/>
  <c r="F31" i="7" s="1"/>
  <c r="V31" i="7"/>
  <c r="G31" i="7" s="1"/>
  <c r="AB31" i="7" s="1"/>
  <c r="W31" i="7"/>
  <c r="AI31" i="7" s="1"/>
  <c r="U32" i="7"/>
  <c r="F32" i="7" s="1"/>
  <c r="AA32" i="7" s="1"/>
  <c r="BM32" i="7" s="1"/>
  <c r="V32" i="7"/>
  <c r="G32" i="7" s="1"/>
  <c r="W32" i="7"/>
  <c r="AI32" i="7" s="1"/>
  <c r="U33" i="7"/>
  <c r="F33" i="7" s="1"/>
  <c r="V33" i="7"/>
  <c r="G33" i="7" s="1"/>
  <c r="AB33" i="7" s="1"/>
  <c r="W33" i="7"/>
  <c r="AI33" i="7" s="1"/>
  <c r="U34" i="7"/>
  <c r="F34" i="7" s="1"/>
  <c r="AA34" i="7" s="1"/>
  <c r="BM34" i="7" s="1"/>
  <c r="V34" i="7"/>
  <c r="G34" i="7" s="1"/>
  <c r="AB34" i="7" s="1"/>
  <c r="W34" i="7"/>
  <c r="AI34" i="7" s="1"/>
  <c r="U35" i="7"/>
  <c r="F35" i="7" s="1"/>
  <c r="V35" i="7"/>
  <c r="G35" i="7" s="1"/>
  <c r="AB35" i="7" s="1"/>
  <c r="W35" i="7"/>
  <c r="AI35" i="7" s="1"/>
  <c r="U36" i="7"/>
  <c r="F36" i="7" s="1"/>
  <c r="V36" i="7"/>
  <c r="G36" i="7" s="1"/>
  <c r="AB36" i="7" s="1"/>
  <c r="W36" i="7"/>
  <c r="AI36" i="7" s="1"/>
  <c r="U37" i="7"/>
  <c r="F37" i="7" s="1"/>
  <c r="V37" i="7"/>
  <c r="G37" i="7" s="1"/>
  <c r="AB37" i="7" s="1"/>
  <c r="W37" i="7"/>
  <c r="AI37" i="7" s="1"/>
  <c r="U38" i="7"/>
  <c r="F38" i="7" s="1"/>
  <c r="V38" i="7"/>
  <c r="G38" i="7" s="1"/>
  <c r="AB38" i="7" s="1"/>
  <c r="W38" i="7"/>
  <c r="AI38" i="7" s="1"/>
  <c r="U39" i="7"/>
  <c r="F39" i="7" s="1"/>
  <c r="V39" i="7"/>
  <c r="G39" i="7" s="1"/>
  <c r="AB39" i="7" s="1"/>
  <c r="W39" i="7"/>
  <c r="AI39" i="7" s="1"/>
  <c r="U40" i="7"/>
  <c r="F40" i="7" s="1"/>
  <c r="AA40" i="7" s="1"/>
  <c r="V40" i="7"/>
  <c r="G40" i="7" s="1"/>
  <c r="W40" i="7"/>
  <c r="AI40" i="7" s="1"/>
  <c r="U41" i="7"/>
  <c r="F41" i="7" s="1"/>
  <c r="V41" i="7"/>
  <c r="G41" i="7" s="1"/>
  <c r="AB41" i="7" s="1"/>
  <c r="W41" i="7"/>
  <c r="AI41" i="7" s="1"/>
  <c r="U42" i="7"/>
  <c r="F42" i="7" s="1"/>
  <c r="V42" i="7"/>
  <c r="G42" i="7" s="1"/>
  <c r="AB42" i="7" s="1"/>
  <c r="W42" i="7"/>
  <c r="AI42" i="7" s="1"/>
  <c r="U43" i="7"/>
  <c r="F43" i="7" s="1"/>
  <c r="V43" i="7"/>
  <c r="G43" i="7" s="1"/>
  <c r="AB43" i="7" s="1"/>
  <c r="W43" i="7"/>
  <c r="AI43" i="7" s="1"/>
  <c r="U44" i="7"/>
  <c r="F44" i="7" s="1"/>
  <c r="V44" i="7"/>
  <c r="G44" i="7" s="1"/>
  <c r="W44" i="7"/>
  <c r="AI44" i="7" s="1"/>
  <c r="U45" i="7"/>
  <c r="F45" i="7" s="1"/>
  <c r="AA45" i="7" s="1"/>
  <c r="V45" i="7"/>
  <c r="G45" i="7" s="1"/>
  <c r="AB45" i="7" s="1"/>
  <c r="W45" i="7"/>
  <c r="AI45" i="7" s="1"/>
  <c r="U46" i="7"/>
  <c r="F46" i="7" s="1"/>
  <c r="AA46" i="7" s="1"/>
  <c r="V46" i="7"/>
  <c r="G46" i="7" s="1"/>
  <c r="AB46" i="7" s="1"/>
  <c r="W46" i="7"/>
  <c r="AI46" i="7" s="1"/>
  <c r="U47" i="7"/>
  <c r="F47" i="7" s="1"/>
  <c r="V47" i="7"/>
  <c r="G47" i="7" s="1"/>
  <c r="W47" i="7"/>
  <c r="AI47" i="7" s="1"/>
  <c r="U48" i="7"/>
  <c r="F48" i="7" s="1"/>
  <c r="V48" i="7"/>
  <c r="G48" i="7" s="1"/>
  <c r="W48" i="7"/>
  <c r="AI48" i="7" s="1"/>
  <c r="U49" i="7"/>
  <c r="F49" i="7" s="1"/>
  <c r="V49" i="7"/>
  <c r="G49" i="7" s="1"/>
  <c r="AB49" i="7" s="1"/>
  <c r="W49" i="7"/>
  <c r="AI49" i="7" s="1"/>
  <c r="U50" i="7"/>
  <c r="F50" i="7" s="1"/>
  <c r="V50" i="7"/>
  <c r="G50" i="7" s="1"/>
  <c r="W50" i="7"/>
  <c r="AI50" i="7" s="1"/>
  <c r="U51" i="7"/>
  <c r="F51" i="7" s="1"/>
  <c r="AA51" i="7" s="1"/>
  <c r="V51" i="7"/>
  <c r="G51" i="7" s="1"/>
  <c r="W51" i="7"/>
  <c r="AI51" i="7" s="1"/>
  <c r="U52" i="7"/>
  <c r="F52" i="7" s="1"/>
  <c r="AA52" i="7" s="1"/>
  <c r="BM52" i="7" s="1"/>
  <c r="V52" i="7"/>
  <c r="G52" i="7" s="1"/>
  <c r="AB52" i="7" s="1"/>
  <c r="W52" i="7"/>
  <c r="AI52" i="7" s="1"/>
  <c r="U53" i="7"/>
  <c r="F53" i="7" s="1"/>
  <c r="AA53" i="7" s="1"/>
  <c r="V53" i="7"/>
  <c r="G53" i="7" s="1"/>
  <c r="AB53" i="7" s="1"/>
  <c r="W53" i="7"/>
  <c r="AI53" i="7" s="1"/>
  <c r="U54" i="7"/>
  <c r="F54" i="7" s="1"/>
  <c r="AA54" i="7" s="1"/>
  <c r="V54" i="7"/>
  <c r="G54" i="7" s="1"/>
  <c r="W54" i="7"/>
  <c r="AI54" i="7" s="1"/>
  <c r="U55" i="7"/>
  <c r="F55" i="7" s="1"/>
  <c r="V55" i="7"/>
  <c r="G55" i="7" s="1"/>
  <c r="AB55" i="7" s="1"/>
  <c r="W55" i="7"/>
  <c r="AI55" i="7" s="1"/>
  <c r="U56" i="7"/>
  <c r="F56" i="7" s="1"/>
  <c r="AA56" i="7" s="1"/>
  <c r="V56" i="7"/>
  <c r="G56" i="7" s="1"/>
  <c r="AB56" i="7" s="1"/>
  <c r="W56" i="7"/>
  <c r="AI56" i="7" s="1"/>
  <c r="U57" i="7"/>
  <c r="F57" i="7" s="1"/>
  <c r="V57" i="7"/>
  <c r="G57" i="7" s="1"/>
  <c r="AB57" i="7" s="1"/>
  <c r="W57" i="7"/>
  <c r="AI57" i="7" s="1"/>
  <c r="U58" i="7"/>
  <c r="F58" i="7" s="1"/>
  <c r="AA58" i="7" s="1"/>
  <c r="BM58" i="7" s="1"/>
  <c r="V58" i="7"/>
  <c r="G58" i="7" s="1"/>
  <c r="AB58" i="7" s="1"/>
  <c r="W58" i="7"/>
  <c r="AI58" i="7" s="1"/>
  <c r="U59" i="7"/>
  <c r="F59" i="7" s="1"/>
  <c r="V59" i="7"/>
  <c r="G59" i="7" s="1"/>
  <c r="AB59" i="7" s="1"/>
  <c r="W59" i="7"/>
  <c r="AI59" i="7" s="1"/>
  <c r="U60" i="7"/>
  <c r="F60" i="7" s="1"/>
  <c r="AA60" i="7" s="1"/>
  <c r="BM60" i="7" s="1"/>
  <c r="V60" i="7"/>
  <c r="G60" i="7" s="1"/>
  <c r="AB60" i="7" s="1"/>
  <c r="W60" i="7"/>
  <c r="AI60" i="7" s="1"/>
  <c r="U61" i="7"/>
  <c r="F61" i="7" s="1"/>
  <c r="V61" i="7"/>
  <c r="G61" i="7" s="1"/>
  <c r="W61" i="7"/>
  <c r="AI61" i="7" s="1"/>
  <c r="U62" i="7"/>
  <c r="F62" i="7" s="1"/>
  <c r="AA62" i="7" s="1"/>
  <c r="V62" i="7"/>
  <c r="G62" i="7" s="1"/>
  <c r="AB62" i="7" s="1"/>
  <c r="W62" i="7"/>
  <c r="AI62" i="7" s="1"/>
  <c r="U63" i="7"/>
  <c r="F63" i="7" s="1"/>
  <c r="AA63" i="7" s="1"/>
  <c r="V63" i="7"/>
  <c r="G63" i="7" s="1"/>
  <c r="AB63" i="7" s="1"/>
  <c r="BM63" i="7" s="1"/>
  <c r="W63" i="7"/>
  <c r="AI63" i="7" s="1"/>
  <c r="U64" i="7"/>
  <c r="F64" i="7" s="1"/>
  <c r="AA64" i="7" s="1"/>
  <c r="BM64" i="7" s="1"/>
  <c r="V64" i="7"/>
  <c r="G64" i="7" s="1"/>
  <c r="W64" i="7"/>
  <c r="AI64" i="7" s="1"/>
  <c r="U65" i="7"/>
  <c r="F65" i="7" s="1"/>
  <c r="V65" i="7"/>
  <c r="G65" i="7" s="1"/>
  <c r="AB65" i="7" s="1"/>
  <c r="W65" i="7"/>
  <c r="AI65" i="7" s="1"/>
  <c r="U66" i="7"/>
  <c r="F66" i="7" s="1"/>
  <c r="V66" i="7"/>
  <c r="G66" i="7" s="1"/>
  <c r="AB66" i="7" s="1"/>
  <c r="W66" i="7"/>
  <c r="AI66" i="7" s="1"/>
  <c r="U67" i="7"/>
  <c r="F67" i="7" s="1"/>
  <c r="V67" i="7"/>
  <c r="G67" i="7" s="1"/>
  <c r="AB67" i="7" s="1"/>
  <c r="W67" i="7"/>
  <c r="AI67" i="7" s="1"/>
  <c r="U68" i="7"/>
  <c r="F68" i="7" s="1"/>
  <c r="V68" i="7"/>
  <c r="G68" i="7" s="1"/>
  <c r="AB68" i="7" s="1"/>
  <c r="W68" i="7"/>
  <c r="AI68" i="7" s="1"/>
  <c r="U69" i="7"/>
  <c r="F69" i="7" s="1"/>
  <c r="V69" i="7"/>
  <c r="G69" i="7" s="1"/>
  <c r="AB69" i="7" s="1"/>
  <c r="W69" i="7"/>
  <c r="AI69" i="7" s="1"/>
  <c r="U70" i="7"/>
  <c r="F70" i="7" s="1"/>
  <c r="AA70" i="7" s="1"/>
  <c r="V70" i="7"/>
  <c r="G70" i="7" s="1"/>
  <c r="AB70" i="7" s="1"/>
  <c r="W70" i="7"/>
  <c r="AI70" i="7" s="1"/>
  <c r="U71" i="7"/>
  <c r="F71" i="7" s="1"/>
  <c r="AA71" i="7" s="1"/>
  <c r="V71" i="7"/>
  <c r="G71" i="7" s="1"/>
  <c r="AB71" i="7" s="1"/>
  <c r="BM71" i="7" s="1"/>
  <c r="W71" i="7"/>
  <c r="AI71" i="7" s="1"/>
  <c r="U72" i="7"/>
  <c r="F72" i="7" s="1"/>
  <c r="V72" i="7"/>
  <c r="G72" i="7" s="1"/>
  <c r="W72" i="7"/>
  <c r="AI72" i="7" s="1"/>
  <c r="U73" i="7"/>
  <c r="F73" i="7" s="1"/>
  <c r="V73" i="7"/>
  <c r="G73" i="7" s="1"/>
  <c r="AB73" i="7" s="1"/>
  <c r="W73" i="7"/>
  <c r="AI73" i="7" s="1"/>
  <c r="U74" i="7"/>
  <c r="F74" i="7" s="1"/>
  <c r="AA74" i="7" s="1"/>
  <c r="BM74" i="7" s="1"/>
  <c r="V74" i="7"/>
  <c r="G74" i="7" s="1"/>
  <c r="AB74" i="7" s="1"/>
  <c r="W74" i="7"/>
  <c r="AI74" i="7" s="1"/>
  <c r="U75" i="7"/>
  <c r="F75" i="7" s="1"/>
  <c r="AA75" i="7" s="1"/>
  <c r="BM75" i="7" s="1"/>
  <c r="V75" i="7"/>
  <c r="G75" i="7" s="1"/>
  <c r="AB75" i="7" s="1"/>
  <c r="W75" i="7"/>
  <c r="AI75" i="7" s="1"/>
  <c r="U76" i="7"/>
  <c r="F76" i="7" s="1"/>
  <c r="V76" i="7"/>
  <c r="G76" i="7" s="1"/>
  <c r="W76" i="7"/>
  <c r="AI76" i="7" s="1"/>
  <c r="U77" i="7"/>
  <c r="F77" i="7" s="1"/>
  <c r="V77" i="7"/>
  <c r="G77" i="7" s="1"/>
  <c r="AB77" i="7" s="1"/>
  <c r="W77" i="7"/>
  <c r="AI77" i="7" s="1"/>
  <c r="U78" i="7"/>
  <c r="F78" i="7" s="1"/>
  <c r="V78" i="7"/>
  <c r="G78" i="7" s="1"/>
  <c r="W78" i="7"/>
  <c r="AI78" i="7" s="1"/>
  <c r="U79" i="7"/>
  <c r="F79" i="7" s="1"/>
  <c r="AA79" i="7" s="1"/>
  <c r="V79" i="7"/>
  <c r="G79" i="7" s="1"/>
  <c r="AB79" i="7" s="1"/>
  <c r="BM79" i="7" s="1"/>
  <c r="W79" i="7"/>
  <c r="AI79" i="7" s="1"/>
  <c r="U80" i="7"/>
  <c r="F80" i="7" s="1"/>
  <c r="AA80" i="7" s="1"/>
  <c r="BM80" i="7" s="1"/>
  <c r="V80" i="7"/>
  <c r="G80" i="7" s="1"/>
  <c r="W80" i="7"/>
  <c r="AI80" i="7" s="1"/>
  <c r="U81" i="7"/>
  <c r="F81" i="7" s="1"/>
  <c r="V81" i="7"/>
  <c r="G81" i="7" s="1"/>
  <c r="AB81" i="7" s="1"/>
  <c r="W81" i="7"/>
  <c r="AI81" i="7" s="1"/>
  <c r="U82" i="7"/>
  <c r="F82" i="7" s="1"/>
  <c r="AA82" i="7" s="1"/>
  <c r="BM82" i="7" s="1"/>
  <c r="V82" i="7"/>
  <c r="G82" i="7" s="1"/>
  <c r="AB82" i="7" s="1"/>
  <c r="W82" i="7"/>
  <c r="AI82" i="7" s="1"/>
  <c r="U83" i="7"/>
  <c r="F83" i="7" s="1"/>
  <c r="V83" i="7"/>
  <c r="G83" i="7" s="1"/>
  <c r="AB83" i="7" s="1"/>
  <c r="W83" i="7"/>
  <c r="AI83" i="7" s="1"/>
  <c r="U84" i="7"/>
  <c r="F84" i="7" s="1"/>
  <c r="AA84" i="7" s="1"/>
  <c r="BM84" i="7" s="1"/>
  <c r="V84" i="7"/>
  <c r="G84" i="7" s="1"/>
  <c r="AB84" i="7" s="1"/>
  <c r="W84" i="7"/>
  <c r="AI84" i="7" s="1"/>
  <c r="U85" i="7"/>
  <c r="F85" i="7" s="1"/>
  <c r="AA85" i="7" s="1"/>
  <c r="BM85" i="7" s="1"/>
  <c r="V85" i="7"/>
  <c r="G85" i="7" s="1"/>
  <c r="AB85" i="7" s="1"/>
  <c r="W85" i="7"/>
  <c r="AI85" i="7" s="1"/>
  <c r="U86" i="7"/>
  <c r="F86" i="7" s="1"/>
  <c r="AA86" i="7" s="1"/>
  <c r="V86" i="7"/>
  <c r="G86" i="7" s="1"/>
  <c r="AB86" i="7" s="1"/>
  <c r="W86" i="7"/>
  <c r="AI86" i="7" s="1"/>
  <c r="U87" i="7"/>
  <c r="F87" i="7" s="1"/>
  <c r="AA87" i="7" s="1"/>
  <c r="V87" i="7"/>
  <c r="G87" i="7" s="1"/>
  <c r="AB87" i="7" s="1"/>
  <c r="BM87" i="7" s="1"/>
  <c r="W87" i="7"/>
  <c r="AI87" i="7" s="1"/>
  <c r="U88" i="7"/>
  <c r="F88" i="7" s="1"/>
  <c r="AA88" i="7" s="1"/>
  <c r="BM88" i="7" s="1"/>
  <c r="V88" i="7"/>
  <c r="G88" i="7" s="1"/>
  <c r="AB88" i="7" s="1"/>
  <c r="W88" i="7"/>
  <c r="AI88" i="7" s="1"/>
  <c r="U89" i="7"/>
  <c r="F89" i="7" s="1"/>
  <c r="AA89" i="7" s="1"/>
  <c r="BM89" i="7" s="1"/>
  <c r="V89" i="7"/>
  <c r="G89" i="7" s="1"/>
  <c r="W89" i="7"/>
  <c r="AI89" i="7" s="1"/>
  <c r="U90" i="7"/>
  <c r="F90" i="7" s="1"/>
  <c r="AA90" i="7" s="1"/>
  <c r="BM90" i="7" s="1"/>
  <c r="V90" i="7"/>
  <c r="G90" i="7" s="1"/>
  <c r="AB90" i="7" s="1"/>
  <c r="W90" i="7"/>
  <c r="AI90" i="7" s="1"/>
  <c r="U91" i="7"/>
  <c r="F91" i="7" s="1"/>
  <c r="V91" i="7"/>
  <c r="G91" i="7" s="1"/>
  <c r="AB91" i="7" s="1"/>
  <c r="W91" i="7"/>
  <c r="AI91" i="7" s="1"/>
  <c r="U92" i="7"/>
  <c r="F92" i="7" s="1"/>
  <c r="AA92" i="7" s="1"/>
  <c r="BM92" i="7" s="1"/>
  <c r="V92" i="7"/>
  <c r="G92" i="7" s="1"/>
  <c r="AB92" i="7" s="1"/>
  <c r="W92" i="7"/>
  <c r="AI92" i="7" s="1"/>
  <c r="U93" i="7"/>
  <c r="F93" i="7" s="1"/>
  <c r="V93" i="7"/>
  <c r="G93" i="7" s="1"/>
  <c r="W93" i="7"/>
  <c r="AI93" i="7" s="1"/>
  <c r="U94" i="7"/>
  <c r="F94" i="7" s="1"/>
  <c r="AA94" i="7" s="1"/>
  <c r="V94" i="7"/>
  <c r="G94" i="7" s="1"/>
  <c r="AB94" i="7" s="1"/>
  <c r="W94" i="7"/>
  <c r="AI94" i="7" s="1"/>
  <c r="U95" i="7"/>
  <c r="F95" i="7" s="1"/>
  <c r="AA95" i="7" s="1"/>
  <c r="V95" i="7"/>
  <c r="G95" i="7" s="1"/>
  <c r="AB95" i="7" s="1"/>
  <c r="BM95" i="7" s="1"/>
  <c r="W95" i="7"/>
  <c r="AI95" i="7" s="1"/>
  <c r="U96" i="7"/>
  <c r="F96" i="7" s="1"/>
  <c r="V96" i="7"/>
  <c r="G96" i="7" s="1"/>
  <c r="AB96" i="7" s="1"/>
  <c r="W96" i="7"/>
  <c r="AI96" i="7" s="1"/>
  <c r="U97" i="7"/>
  <c r="F97" i="7" s="1"/>
  <c r="AA97" i="7" s="1"/>
  <c r="BM97" i="7" s="1"/>
  <c r="V97" i="7"/>
  <c r="G97" i="7" s="1"/>
  <c r="AB97" i="7" s="1"/>
  <c r="W97" i="7"/>
  <c r="AI97" i="7" s="1"/>
  <c r="U98" i="7"/>
  <c r="F98" i="7" s="1"/>
  <c r="V98" i="7"/>
  <c r="G98" i="7" s="1"/>
  <c r="W98" i="7"/>
  <c r="AI98" i="7" s="1"/>
  <c r="T19" i="7"/>
  <c r="W19" i="7"/>
  <c r="V19" i="7"/>
  <c r="U19" i="7"/>
  <c r="T21" i="7"/>
  <c r="U21" i="7"/>
  <c r="V21" i="7"/>
  <c r="W21" i="7"/>
  <c r="U22" i="7"/>
  <c r="F22" i="7" s="1"/>
  <c r="V22" i="7"/>
  <c r="W22" i="7"/>
  <c r="AI22" i="7" s="1"/>
  <c r="L43" i="7"/>
  <c r="K43" i="7" s="1"/>
  <c r="M43" i="7"/>
  <c r="Q43" i="7"/>
  <c r="P43" i="7" s="1"/>
  <c r="R43" i="7"/>
  <c r="S43" i="7"/>
  <c r="T43" i="7"/>
  <c r="L44" i="7"/>
  <c r="K44" i="7" s="1"/>
  <c r="M44" i="7"/>
  <c r="Q44" i="7"/>
  <c r="P44" i="7" s="1"/>
  <c r="R44" i="7"/>
  <c r="S44" i="7"/>
  <c r="T44" i="7"/>
  <c r="L45" i="7"/>
  <c r="K45" i="7" s="1"/>
  <c r="M45" i="7"/>
  <c r="Q45" i="7"/>
  <c r="P45" i="7" s="1"/>
  <c r="R45" i="7"/>
  <c r="S45" i="7"/>
  <c r="T45" i="7"/>
  <c r="L46" i="7"/>
  <c r="K46" i="7" s="1"/>
  <c r="M46" i="7"/>
  <c r="Q46" i="7"/>
  <c r="P46" i="7" s="1"/>
  <c r="R46" i="7"/>
  <c r="S46" i="7"/>
  <c r="T46" i="7"/>
  <c r="L47" i="7"/>
  <c r="K47" i="7" s="1"/>
  <c r="M47" i="7"/>
  <c r="Q47" i="7"/>
  <c r="P47" i="7" s="1"/>
  <c r="R47" i="7"/>
  <c r="S47" i="7"/>
  <c r="T47" i="7"/>
  <c r="L48" i="7"/>
  <c r="K48" i="7" s="1"/>
  <c r="M48" i="7"/>
  <c r="Q48" i="7"/>
  <c r="P48" i="7" s="1"/>
  <c r="R48" i="7"/>
  <c r="S48" i="7"/>
  <c r="T48" i="7"/>
  <c r="L49" i="7"/>
  <c r="K49" i="7" s="1"/>
  <c r="M49" i="7"/>
  <c r="Q49" i="7"/>
  <c r="P49" i="7" s="1"/>
  <c r="R49" i="7"/>
  <c r="S49" i="7"/>
  <c r="T49" i="7"/>
  <c r="L50" i="7"/>
  <c r="K50" i="7" s="1"/>
  <c r="M50" i="7"/>
  <c r="Q50" i="7"/>
  <c r="P50" i="7" s="1"/>
  <c r="R50" i="7"/>
  <c r="S50" i="7"/>
  <c r="T50" i="7"/>
  <c r="L51" i="7"/>
  <c r="K51" i="7" s="1"/>
  <c r="M51" i="7"/>
  <c r="Q51" i="7"/>
  <c r="P51" i="7" s="1"/>
  <c r="R51" i="7"/>
  <c r="S51" i="7"/>
  <c r="T51" i="7"/>
  <c r="L52" i="7"/>
  <c r="K52" i="7" s="1"/>
  <c r="M52" i="7"/>
  <c r="Q52" i="7"/>
  <c r="P52" i="7" s="1"/>
  <c r="R52" i="7"/>
  <c r="S52" i="7"/>
  <c r="T52" i="7"/>
  <c r="L53" i="7"/>
  <c r="K53" i="7" s="1"/>
  <c r="M53" i="7"/>
  <c r="Q53" i="7"/>
  <c r="P53" i="7" s="1"/>
  <c r="R53" i="7"/>
  <c r="S53" i="7"/>
  <c r="T53" i="7"/>
  <c r="L54" i="7"/>
  <c r="K54" i="7" s="1"/>
  <c r="M54" i="7"/>
  <c r="Q54" i="7"/>
  <c r="P54" i="7" s="1"/>
  <c r="R54" i="7"/>
  <c r="S54" i="7"/>
  <c r="T54" i="7"/>
  <c r="L55" i="7"/>
  <c r="K55" i="7" s="1"/>
  <c r="M55" i="7"/>
  <c r="Q55" i="7"/>
  <c r="P55" i="7" s="1"/>
  <c r="R55" i="7"/>
  <c r="S55" i="7"/>
  <c r="T55" i="7"/>
  <c r="L56" i="7"/>
  <c r="K56" i="7" s="1"/>
  <c r="M56" i="7"/>
  <c r="Q56" i="7"/>
  <c r="P56" i="7" s="1"/>
  <c r="R56" i="7"/>
  <c r="S56" i="7"/>
  <c r="T56" i="7"/>
  <c r="L57" i="7"/>
  <c r="K57" i="7" s="1"/>
  <c r="M57" i="7"/>
  <c r="Q57" i="7"/>
  <c r="P57" i="7" s="1"/>
  <c r="R57" i="7"/>
  <c r="S57" i="7"/>
  <c r="T57" i="7"/>
  <c r="L58" i="7"/>
  <c r="K58" i="7" s="1"/>
  <c r="M58" i="7"/>
  <c r="Q58" i="7"/>
  <c r="P58" i="7" s="1"/>
  <c r="R58" i="7"/>
  <c r="S58" i="7"/>
  <c r="T58" i="7"/>
  <c r="L59" i="7"/>
  <c r="K59" i="7" s="1"/>
  <c r="M59" i="7"/>
  <c r="Q59" i="7"/>
  <c r="P59" i="7" s="1"/>
  <c r="R59" i="7"/>
  <c r="S59" i="7"/>
  <c r="T59" i="7"/>
  <c r="L60" i="7"/>
  <c r="K60" i="7" s="1"/>
  <c r="M60" i="7"/>
  <c r="Q60" i="7"/>
  <c r="P60" i="7" s="1"/>
  <c r="R60" i="7"/>
  <c r="S60" i="7"/>
  <c r="T60" i="7"/>
  <c r="L61" i="7"/>
  <c r="K61" i="7" s="1"/>
  <c r="M61" i="7"/>
  <c r="Q61" i="7"/>
  <c r="P61" i="7" s="1"/>
  <c r="R61" i="7"/>
  <c r="S61" i="7"/>
  <c r="T61" i="7"/>
  <c r="L62" i="7"/>
  <c r="K62" i="7" s="1"/>
  <c r="M62" i="7"/>
  <c r="Q62" i="7"/>
  <c r="P62" i="7" s="1"/>
  <c r="R62" i="7"/>
  <c r="S62" i="7"/>
  <c r="T62" i="7"/>
  <c r="L63" i="7"/>
  <c r="K63" i="7" s="1"/>
  <c r="M63" i="7"/>
  <c r="Q63" i="7"/>
  <c r="P63" i="7" s="1"/>
  <c r="R63" i="7"/>
  <c r="S63" i="7"/>
  <c r="T63" i="7"/>
  <c r="L64" i="7"/>
  <c r="K64" i="7" s="1"/>
  <c r="M64" i="7"/>
  <c r="Q64" i="7"/>
  <c r="P64" i="7" s="1"/>
  <c r="R64" i="7"/>
  <c r="S64" i="7"/>
  <c r="T64" i="7"/>
  <c r="L65" i="7"/>
  <c r="K65" i="7" s="1"/>
  <c r="M65" i="7"/>
  <c r="Q65" i="7"/>
  <c r="P65" i="7" s="1"/>
  <c r="R65" i="7"/>
  <c r="S65" i="7"/>
  <c r="T65" i="7"/>
  <c r="L66" i="7"/>
  <c r="K66" i="7" s="1"/>
  <c r="M66" i="7"/>
  <c r="Q66" i="7"/>
  <c r="P66" i="7" s="1"/>
  <c r="R66" i="7"/>
  <c r="S66" i="7"/>
  <c r="T66" i="7"/>
  <c r="L67" i="7"/>
  <c r="K67" i="7" s="1"/>
  <c r="M67" i="7"/>
  <c r="Q67" i="7"/>
  <c r="P67" i="7" s="1"/>
  <c r="R67" i="7"/>
  <c r="S67" i="7"/>
  <c r="T67" i="7"/>
  <c r="L68" i="7"/>
  <c r="K68" i="7" s="1"/>
  <c r="M68" i="7"/>
  <c r="Q68" i="7"/>
  <c r="P68" i="7" s="1"/>
  <c r="R68" i="7"/>
  <c r="S68" i="7"/>
  <c r="T68" i="7"/>
  <c r="L69" i="7"/>
  <c r="K69" i="7" s="1"/>
  <c r="M69" i="7"/>
  <c r="Q69" i="7"/>
  <c r="P69" i="7" s="1"/>
  <c r="R69" i="7"/>
  <c r="S69" i="7"/>
  <c r="T69" i="7"/>
  <c r="L70" i="7"/>
  <c r="K70" i="7" s="1"/>
  <c r="M70" i="7"/>
  <c r="Q70" i="7"/>
  <c r="P70" i="7" s="1"/>
  <c r="R70" i="7"/>
  <c r="S70" i="7"/>
  <c r="T70" i="7"/>
  <c r="L71" i="7"/>
  <c r="K71" i="7" s="1"/>
  <c r="M71" i="7"/>
  <c r="Q71" i="7"/>
  <c r="P71" i="7" s="1"/>
  <c r="R71" i="7"/>
  <c r="S71" i="7"/>
  <c r="T71" i="7"/>
  <c r="L72" i="7"/>
  <c r="K72" i="7" s="1"/>
  <c r="M72" i="7"/>
  <c r="Q72" i="7"/>
  <c r="P72" i="7" s="1"/>
  <c r="R72" i="7"/>
  <c r="S72" i="7"/>
  <c r="T72" i="7"/>
  <c r="L73" i="7"/>
  <c r="K73" i="7" s="1"/>
  <c r="M73" i="7"/>
  <c r="Q73" i="7"/>
  <c r="P73" i="7" s="1"/>
  <c r="R73" i="7"/>
  <c r="S73" i="7"/>
  <c r="T73" i="7"/>
  <c r="L74" i="7"/>
  <c r="K74" i="7" s="1"/>
  <c r="M74" i="7"/>
  <c r="Q74" i="7"/>
  <c r="P74" i="7" s="1"/>
  <c r="R74" i="7"/>
  <c r="S74" i="7"/>
  <c r="T74" i="7"/>
  <c r="L75" i="7"/>
  <c r="K75" i="7" s="1"/>
  <c r="M75" i="7"/>
  <c r="Q75" i="7"/>
  <c r="P75" i="7" s="1"/>
  <c r="R75" i="7"/>
  <c r="S75" i="7"/>
  <c r="T75" i="7"/>
  <c r="L76" i="7"/>
  <c r="K76" i="7" s="1"/>
  <c r="M76" i="7"/>
  <c r="Q76" i="7"/>
  <c r="P76" i="7" s="1"/>
  <c r="R76" i="7"/>
  <c r="S76" i="7"/>
  <c r="T76" i="7"/>
  <c r="L77" i="7"/>
  <c r="K77" i="7" s="1"/>
  <c r="M77" i="7"/>
  <c r="Q77" i="7"/>
  <c r="P77" i="7" s="1"/>
  <c r="R77" i="7"/>
  <c r="S77" i="7"/>
  <c r="T77" i="7"/>
  <c r="L78" i="7"/>
  <c r="K78" i="7" s="1"/>
  <c r="M78" i="7"/>
  <c r="Q78" i="7"/>
  <c r="P78" i="7" s="1"/>
  <c r="R78" i="7"/>
  <c r="S78" i="7"/>
  <c r="T78" i="7"/>
  <c r="L79" i="7"/>
  <c r="K79" i="7" s="1"/>
  <c r="M79" i="7"/>
  <c r="Q79" i="7"/>
  <c r="P79" i="7" s="1"/>
  <c r="R79" i="7"/>
  <c r="S79" i="7"/>
  <c r="T79" i="7"/>
  <c r="L80" i="7"/>
  <c r="K80" i="7" s="1"/>
  <c r="M80" i="7"/>
  <c r="Q80" i="7"/>
  <c r="P80" i="7" s="1"/>
  <c r="R80" i="7"/>
  <c r="S80" i="7"/>
  <c r="T80" i="7"/>
  <c r="L81" i="7"/>
  <c r="K81" i="7" s="1"/>
  <c r="M81" i="7"/>
  <c r="Q81" i="7"/>
  <c r="P81" i="7" s="1"/>
  <c r="R81" i="7"/>
  <c r="S81" i="7"/>
  <c r="T81" i="7"/>
  <c r="L82" i="7"/>
  <c r="K82" i="7" s="1"/>
  <c r="M82" i="7"/>
  <c r="Q82" i="7"/>
  <c r="P82" i="7" s="1"/>
  <c r="R82" i="7"/>
  <c r="S82" i="7"/>
  <c r="T82" i="7"/>
  <c r="L83" i="7"/>
  <c r="K83" i="7" s="1"/>
  <c r="M83" i="7"/>
  <c r="Q83" i="7"/>
  <c r="P83" i="7" s="1"/>
  <c r="R83" i="7"/>
  <c r="S83" i="7"/>
  <c r="T83" i="7"/>
  <c r="L84" i="7"/>
  <c r="K84" i="7" s="1"/>
  <c r="M84" i="7"/>
  <c r="Q84" i="7"/>
  <c r="P84" i="7" s="1"/>
  <c r="R84" i="7"/>
  <c r="S84" i="7"/>
  <c r="T84" i="7"/>
  <c r="L85" i="7"/>
  <c r="K85" i="7" s="1"/>
  <c r="M85" i="7"/>
  <c r="Q85" i="7"/>
  <c r="P85" i="7" s="1"/>
  <c r="R85" i="7"/>
  <c r="S85" i="7"/>
  <c r="T85" i="7"/>
  <c r="L86" i="7"/>
  <c r="K86" i="7" s="1"/>
  <c r="M86" i="7"/>
  <c r="Q86" i="7"/>
  <c r="P86" i="7" s="1"/>
  <c r="R86" i="7"/>
  <c r="S86" i="7"/>
  <c r="T86" i="7"/>
  <c r="L87" i="7"/>
  <c r="K87" i="7" s="1"/>
  <c r="M87" i="7"/>
  <c r="Q87" i="7"/>
  <c r="P87" i="7" s="1"/>
  <c r="R87" i="7"/>
  <c r="S87" i="7"/>
  <c r="T87" i="7"/>
  <c r="L88" i="7"/>
  <c r="K88" i="7" s="1"/>
  <c r="M88" i="7"/>
  <c r="Q88" i="7"/>
  <c r="P88" i="7" s="1"/>
  <c r="R88" i="7"/>
  <c r="S88" i="7"/>
  <c r="T88" i="7"/>
  <c r="L89" i="7"/>
  <c r="K89" i="7" s="1"/>
  <c r="M89" i="7"/>
  <c r="Q89" i="7"/>
  <c r="P89" i="7" s="1"/>
  <c r="R89" i="7"/>
  <c r="S89" i="7"/>
  <c r="T89" i="7"/>
  <c r="L90" i="7"/>
  <c r="K90" i="7" s="1"/>
  <c r="M90" i="7"/>
  <c r="Q90" i="7"/>
  <c r="P90" i="7" s="1"/>
  <c r="R90" i="7"/>
  <c r="S90" i="7"/>
  <c r="T90" i="7"/>
  <c r="L91" i="7"/>
  <c r="K91" i="7" s="1"/>
  <c r="M91" i="7"/>
  <c r="Q91" i="7"/>
  <c r="P91" i="7" s="1"/>
  <c r="R91" i="7"/>
  <c r="S91" i="7"/>
  <c r="T91" i="7"/>
  <c r="L92" i="7"/>
  <c r="K92" i="7" s="1"/>
  <c r="M92" i="7"/>
  <c r="Q92" i="7"/>
  <c r="P92" i="7" s="1"/>
  <c r="R92" i="7"/>
  <c r="S92" i="7"/>
  <c r="T92" i="7"/>
  <c r="L93" i="7"/>
  <c r="K93" i="7" s="1"/>
  <c r="M93" i="7"/>
  <c r="Q93" i="7"/>
  <c r="P93" i="7" s="1"/>
  <c r="R93" i="7"/>
  <c r="S93" i="7"/>
  <c r="T93" i="7"/>
  <c r="L94" i="7"/>
  <c r="K94" i="7" s="1"/>
  <c r="M94" i="7"/>
  <c r="Q94" i="7"/>
  <c r="P94" i="7" s="1"/>
  <c r="R94" i="7"/>
  <c r="S94" i="7"/>
  <c r="T94" i="7"/>
  <c r="L95" i="7"/>
  <c r="K95" i="7" s="1"/>
  <c r="M95" i="7"/>
  <c r="Q95" i="7"/>
  <c r="P95" i="7" s="1"/>
  <c r="R95" i="7"/>
  <c r="S95" i="7"/>
  <c r="T95" i="7"/>
  <c r="L96" i="7"/>
  <c r="K96" i="7" s="1"/>
  <c r="M96" i="7"/>
  <c r="Q96" i="7"/>
  <c r="P96" i="7" s="1"/>
  <c r="R96" i="7"/>
  <c r="S96" i="7"/>
  <c r="T96" i="7"/>
  <c r="L97" i="7"/>
  <c r="K97" i="7" s="1"/>
  <c r="M97" i="7"/>
  <c r="Q97" i="7"/>
  <c r="P97" i="7" s="1"/>
  <c r="R97" i="7"/>
  <c r="S97" i="7"/>
  <c r="T97" i="7"/>
  <c r="L98" i="7"/>
  <c r="K98" i="7" s="1"/>
  <c r="M98" i="7"/>
  <c r="Q98" i="7"/>
  <c r="P98" i="7" s="1"/>
  <c r="R98" i="7"/>
  <c r="S98" i="7"/>
  <c r="T98" i="7"/>
  <c r="L23" i="7"/>
  <c r="K23" i="7" s="1"/>
  <c r="M23" i="7"/>
  <c r="Q23" i="7"/>
  <c r="P23" i="7" s="1"/>
  <c r="R23" i="7"/>
  <c r="S23" i="7"/>
  <c r="T23" i="7"/>
  <c r="L24" i="7"/>
  <c r="K24" i="7" s="1"/>
  <c r="M24" i="7"/>
  <c r="Q24" i="7"/>
  <c r="P24" i="7" s="1"/>
  <c r="R24" i="7"/>
  <c r="S24" i="7"/>
  <c r="T24" i="7"/>
  <c r="L25" i="7"/>
  <c r="K25" i="7" s="1"/>
  <c r="M25" i="7"/>
  <c r="Q25" i="7"/>
  <c r="P25" i="7" s="1"/>
  <c r="S25" i="7"/>
  <c r="T25" i="7"/>
  <c r="L26" i="7"/>
  <c r="K26" i="7" s="1"/>
  <c r="M26" i="7"/>
  <c r="Q26" i="7"/>
  <c r="P26" i="7" s="1"/>
  <c r="R26" i="7"/>
  <c r="S26" i="7"/>
  <c r="T26" i="7"/>
  <c r="L27" i="7"/>
  <c r="K27" i="7" s="1"/>
  <c r="M27" i="7"/>
  <c r="Q27" i="7"/>
  <c r="P27" i="7" s="1"/>
  <c r="R27" i="7"/>
  <c r="S27" i="7"/>
  <c r="T27" i="7"/>
  <c r="L28" i="7"/>
  <c r="K28" i="7" s="1"/>
  <c r="M28" i="7"/>
  <c r="Q28" i="7"/>
  <c r="P28" i="7" s="1"/>
  <c r="R28" i="7"/>
  <c r="S28" i="7"/>
  <c r="T28" i="7"/>
  <c r="L29" i="7"/>
  <c r="K29" i="7" s="1"/>
  <c r="M29" i="7"/>
  <c r="Q29" i="7"/>
  <c r="P29" i="7" s="1"/>
  <c r="R29" i="7"/>
  <c r="S29" i="7"/>
  <c r="T29" i="7"/>
  <c r="L30" i="7"/>
  <c r="K30" i="7" s="1"/>
  <c r="M30" i="7"/>
  <c r="Q30" i="7"/>
  <c r="P30" i="7" s="1"/>
  <c r="R30" i="7"/>
  <c r="S30" i="7"/>
  <c r="T30" i="7"/>
  <c r="L31" i="7"/>
  <c r="AG31" i="7" s="1"/>
  <c r="M31" i="7"/>
  <c r="Q31" i="7"/>
  <c r="P31" i="7" s="1"/>
  <c r="R31" i="7"/>
  <c r="S31" i="7"/>
  <c r="T31" i="7"/>
  <c r="L32" i="7"/>
  <c r="K32" i="7" s="1"/>
  <c r="M32" i="7"/>
  <c r="Q32" i="7"/>
  <c r="P32" i="7" s="1"/>
  <c r="R32" i="7"/>
  <c r="S32" i="7"/>
  <c r="T32" i="7"/>
  <c r="L33" i="7"/>
  <c r="K33" i="7" s="1"/>
  <c r="M33" i="7"/>
  <c r="Q33" i="7"/>
  <c r="P33" i="7" s="1"/>
  <c r="R33" i="7"/>
  <c r="S33" i="7"/>
  <c r="T33" i="7"/>
  <c r="L34" i="7"/>
  <c r="K34" i="7" s="1"/>
  <c r="M34" i="7"/>
  <c r="Q34" i="7"/>
  <c r="P34" i="7" s="1"/>
  <c r="R34" i="7"/>
  <c r="S34" i="7"/>
  <c r="T34" i="7"/>
  <c r="L35" i="7"/>
  <c r="K35" i="7" s="1"/>
  <c r="M35" i="7"/>
  <c r="Q35" i="7"/>
  <c r="P35" i="7" s="1"/>
  <c r="R35" i="7"/>
  <c r="S35" i="7"/>
  <c r="T35" i="7"/>
  <c r="L36" i="7"/>
  <c r="K36" i="7" s="1"/>
  <c r="M36" i="7"/>
  <c r="Q36" i="7"/>
  <c r="P36" i="7" s="1"/>
  <c r="R36" i="7"/>
  <c r="S36" i="7"/>
  <c r="T36" i="7"/>
  <c r="L37" i="7"/>
  <c r="K37" i="7" s="1"/>
  <c r="M37" i="7"/>
  <c r="Q37" i="7"/>
  <c r="P37" i="7" s="1"/>
  <c r="R37" i="7"/>
  <c r="S37" i="7"/>
  <c r="T37" i="7"/>
  <c r="L38" i="7"/>
  <c r="K38" i="7" s="1"/>
  <c r="M38" i="7"/>
  <c r="Q38" i="7"/>
  <c r="P38" i="7" s="1"/>
  <c r="R38" i="7"/>
  <c r="S38" i="7"/>
  <c r="T38" i="7"/>
  <c r="L39" i="7"/>
  <c r="K39" i="7" s="1"/>
  <c r="M39" i="7"/>
  <c r="Q39" i="7"/>
  <c r="AH39" i="7" s="1"/>
  <c r="R39" i="7"/>
  <c r="S39" i="7"/>
  <c r="T39" i="7"/>
  <c r="L40" i="7"/>
  <c r="K40" i="7" s="1"/>
  <c r="M40" i="7"/>
  <c r="Q40" i="7"/>
  <c r="P40" i="7" s="1"/>
  <c r="R40" i="7"/>
  <c r="S40" i="7"/>
  <c r="T40" i="7"/>
  <c r="L41" i="7"/>
  <c r="K41" i="7" s="1"/>
  <c r="M41" i="7"/>
  <c r="Q41" i="7"/>
  <c r="P41" i="7" s="1"/>
  <c r="R41" i="7"/>
  <c r="S41" i="7"/>
  <c r="T41" i="7"/>
  <c r="L42" i="7"/>
  <c r="K42" i="7" s="1"/>
  <c r="M42" i="7"/>
  <c r="Q42" i="7"/>
  <c r="P42" i="7" s="1"/>
  <c r="R42" i="7"/>
  <c r="S42" i="7"/>
  <c r="T42" i="7"/>
  <c r="M22" i="7"/>
  <c r="Q22" i="7"/>
  <c r="AH22" i="7" s="1"/>
  <c r="R22" i="7"/>
  <c r="S22" i="7"/>
  <c r="T22" i="7"/>
  <c r="L22" i="7"/>
  <c r="AG22" i="7" s="1"/>
  <c r="R21" i="7"/>
  <c r="M21" i="7"/>
  <c r="AH82" i="6"/>
  <c r="AH83" i="6"/>
  <c r="D69" i="2"/>
  <c r="D54" i="2"/>
  <c r="D48" i="2"/>
  <c r="D35" i="2"/>
  <c r="X28" i="6"/>
  <c r="X39" i="6"/>
  <c r="X40" i="6"/>
  <c r="X41" i="6"/>
  <c r="X43" i="6"/>
  <c r="X44" i="6"/>
  <c r="X46" i="6"/>
  <c r="X47" i="6"/>
  <c r="X49" i="6"/>
  <c r="X50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6" i="6"/>
  <c r="X67" i="6"/>
  <c r="X68" i="6"/>
  <c r="X69" i="6"/>
  <c r="X71" i="6"/>
  <c r="X72" i="6"/>
  <c r="X73" i="6"/>
  <c r="X74" i="6"/>
  <c r="X75" i="6"/>
  <c r="X76" i="6"/>
  <c r="X77" i="6"/>
  <c r="X78" i="6"/>
  <c r="X79" i="6"/>
  <c r="X80" i="6"/>
  <c r="X81" i="6"/>
  <c r="AP40" i="2"/>
  <c r="CH40" i="2"/>
  <c r="T28" i="6"/>
  <c r="AH28" i="6" s="1"/>
  <c r="T29" i="6"/>
  <c r="T30" i="6"/>
  <c r="T31" i="6"/>
  <c r="T32" i="6"/>
  <c r="T33" i="6"/>
  <c r="T34" i="6"/>
  <c r="T35" i="6"/>
  <c r="T36" i="6"/>
  <c r="T37" i="6"/>
  <c r="T38" i="6"/>
  <c r="T39" i="6"/>
  <c r="AH39" i="6" s="1"/>
  <c r="T40" i="6"/>
  <c r="AH40" i="6" s="1"/>
  <c r="T41" i="6"/>
  <c r="AH41" i="6" s="1"/>
  <c r="T42" i="6"/>
  <c r="T43" i="6"/>
  <c r="AH43" i="6" s="1"/>
  <c r="T44" i="6"/>
  <c r="AH44" i="6" s="1"/>
  <c r="T45" i="6"/>
  <c r="T46" i="6"/>
  <c r="AH46" i="6" s="1"/>
  <c r="T47" i="6"/>
  <c r="AH47" i="6" s="1"/>
  <c r="T48" i="6"/>
  <c r="T49" i="6"/>
  <c r="AH49" i="6" s="1"/>
  <c r="T50" i="6"/>
  <c r="AH50" i="6" s="1"/>
  <c r="T51" i="6"/>
  <c r="T52" i="6"/>
  <c r="T53" i="6"/>
  <c r="AH53" i="6" s="1"/>
  <c r="T54" i="6"/>
  <c r="AH54" i="6" s="1"/>
  <c r="T55" i="6"/>
  <c r="AH55" i="6" s="1"/>
  <c r="T56" i="6"/>
  <c r="AH56" i="6" s="1"/>
  <c r="T57" i="6"/>
  <c r="AH57" i="6" s="1"/>
  <c r="T58" i="6"/>
  <c r="AH58" i="6" s="1"/>
  <c r="T59" i="6"/>
  <c r="AH59" i="6" s="1"/>
  <c r="T60" i="6"/>
  <c r="AH60" i="6" s="1"/>
  <c r="T61" i="6"/>
  <c r="AH61" i="6" s="1"/>
  <c r="T62" i="6"/>
  <c r="AH62" i="6" s="1"/>
  <c r="T63" i="6"/>
  <c r="AH63" i="6" s="1"/>
  <c r="T64" i="6"/>
  <c r="AH64" i="6" s="1"/>
  <c r="T65" i="6"/>
  <c r="AH65" i="6" s="1"/>
  <c r="T66" i="6"/>
  <c r="AH66" i="6" s="1"/>
  <c r="T67" i="6"/>
  <c r="AH67" i="6" s="1"/>
  <c r="T68" i="6"/>
  <c r="AH68" i="6" s="1"/>
  <c r="T69" i="6"/>
  <c r="AH69" i="6" s="1"/>
  <c r="T70" i="6"/>
  <c r="T71" i="6"/>
  <c r="AH71" i="6" s="1"/>
  <c r="T72" i="6"/>
  <c r="AH72" i="6" s="1"/>
  <c r="T73" i="6"/>
  <c r="AH73" i="6" s="1"/>
  <c r="T74" i="6"/>
  <c r="AH74" i="6" s="1"/>
  <c r="T75" i="6"/>
  <c r="AH75" i="6" s="1"/>
  <c r="T76" i="6"/>
  <c r="AH76" i="6" s="1"/>
  <c r="T77" i="6"/>
  <c r="AH77" i="6" s="1"/>
  <c r="T78" i="6"/>
  <c r="AH78" i="6" s="1"/>
  <c r="T79" i="6"/>
  <c r="AH79" i="6" s="1"/>
  <c r="T80" i="6"/>
  <c r="AH80" i="6" s="1"/>
  <c r="T81" i="6"/>
  <c r="AH81" i="6" s="1"/>
  <c r="T26" i="6"/>
  <c r="T27" i="6"/>
  <c r="AP36" i="2"/>
  <c r="CH36" i="2"/>
  <c r="AP46" i="2"/>
  <c r="CH46" i="2"/>
  <c r="AP43" i="2"/>
  <c r="CH43" i="2"/>
  <c r="C28" i="6"/>
  <c r="AJ28" i="6" s="1"/>
  <c r="C29" i="6"/>
  <c r="AJ29" i="6" s="1"/>
  <c r="C30" i="6"/>
  <c r="AJ30" i="6" s="1"/>
  <c r="C31" i="6"/>
  <c r="AM31" i="6" s="1"/>
  <c r="C32" i="6"/>
  <c r="AJ32" i="6" s="1"/>
  <c r="C33" i="6"/>
  <c r="AJ33" i="6" s="1"/>
  <c r="C34" i="6"/>
  <c r="AJ34" i="6" s="1"/>
  <c r="C35" i="6"/>
  <c r="AJ35" i="6" s="1"/>
  <c r="C36" i="6"/>
  <c r="AJ36" i="6" s="1"/>
  <c r="C37" i="6"/>
  <c r="AJ37" i="6" s="1"/>
  <c r="C38" i="6"/>
  <c r="AJ38" i="6" s="1"/>
  <c r="C39" i="6"/>
  <c r="AJ39" i="6" s="1"/>
  <c r="C40" i="6"/>
  <c r="AJ40" i="6" s="1"/>
  <c r="C41" i="6"/>
  <c r="AJ41" i="6" s="1"/>
  <c r="C42" i="6"/>
  <c r="AJ42" i="6" s="1"/>
  <c r="C43" i="6"/>
  <c r="AJ43" i="6" s="1"/>
  <c r="C44" i="6"/>
  <c r="AJ44" i="6" s="1"/>
  <c r="C45" i="6"/>
  <c r="AJ45" i="6" s="1"/>
  <c r="C46" i="6"/>
  <c r="AJ46" i="6" s="1"/>
  <c r="C47" i="6"/>
  <c r="AJ47" i="6" s="1"/>
  <c r="C48" i="6"/>
  <c r="AJ48" i="6" s="1"/>
  <c r="C49" i="6"/>
  <c r="AJ49" i="6" s="1"/>
  <c r="C50" i="6"/>
  <c r="AJ50" i="6" s="1"/>
  <c r="C51" i="6"/>
  <c r="AM51" i="6" s="1"/>
  <c r="C52" i="6"/>
  <c r="AJ52" i="6" s="1"/>
  <c r="C53" i="6"/>
  <c r="AJ53" i="6" s="1"/>
  <c r="C54" i="6"/>
  <c r="AJ54" i="6" s="1"/>
  <c r="C55" i="6"/>
  <c r="AJ55" i="6" s="1"/>
  <c r="C56" i="6"/>
  <c r="AJ56" i="6" s="1"/>
  <c r="C57" i="6"/>
  <c r="AJ57" i="6" s="1"/>
  <c r="C58" i="6"/>
  <c r="AJ58" i="6" s="1"/>
  <c r="C59" i="6"/>
  <c r="AJ59" i="6" s="1"/>
  <c r="C60" i="6"/>
  <c r="AJ60" i="6" s="1"/>
  <c r="C61" i="6"/>
  <c r="AJ61" i="6" s="1"/>
  <c r="C62" i="6"/>
  <c r="AM62" i="6" s="1"/>
  <c r="C63" i="6"/>
  <c r="AJ63" i="6" s="1"/>
  <c r="C64" i="6"/>
  <c r="AM64" i="6" s="1"/>
  <c r="C65" i="6"/>
  <c r="AJ65" i="6" s="1"/>
  <c r="C66" i="6"/>
  <c r="AJ66" i="6" s="1"/>
  <c r="C67" i="6"/>
  <c r="AM67" i="6" s="1"/>
  <c r="C68" i="6"/>
  <c r="AJ68" i="6" s="1"/>
  <c r="C69" i="6"/>
  <c r="AJ69" i="6" s="1"/>
  <c r="C70" i="6"/>
  <c r="AJ70" i="6" s="1"/>
  <c r="C71" i="6"/>
  <c r="AJ71" i="6" s="1"/>
  <c r="C72" i="6"/>
  <c r="AJ72" i="6" s="1"/>
  <c r="C73" i="6"/>
  <c r="AJ73" i="6" s="1"/>
  <c r="C74" i="6"/>
  <c r="AJ74" i="6" s="1"/>
  <c r="C75" i="6"/>
  <c r="AJ75" i="6" s="1"/>
  <c r="C76" i="6"/>
  <c r="AJ76" i="6" s="1"/>
  <c r="C77" i="6"/>
  <c r="AJ77" i="6" s="1"/>
  <c r="C78" i="6"/>
  <c r="AJ78" i="6" s="1"/>
  <c r="C79" i="6"/>
  <c r="AJ79" i="6" s="1"/>
  <c r="C80" i="6"/>
  <c r="AM80" i="6" s="1"/>
  <c r="C81" i="6"/>
  <c r="AJ81" i="6" s="1"/>
  <c r="D28" i="6"/>
  <c r="AO28" i="6" s="1"/>
  <c r="E28" i="6"/>
  <c r="Y28" i="6" s="1"/>
  <c r="F28" i="6"/>
  <c r="G28" i="6"/>
  <c r="H28" i="6"/>
  <c r="I28" i="6"/>
  <c r="L28" i="6"/>
  <c r="M28" i="6"/>
  <c r="N28" i="6"/>
  <c r="O28" i="6"/>
  <c r="P28" i="6"/>
  <c r="AN28" i="6" s="1"/>
  <c r="Q28" i="6"/>
  <c r="AR28" i="6" s="1"/>
  <c r="R28" i="6"/>
  <c r="AT28" i="6" s="1"/>
  <c r="D29" i="6"/>
  <c r="AO29" i="6" s="1"/>
  <c r="E29" i="6"/>
  <c r="Y29" i="6" s="1"/>
  <c r="F29" i="6"/>
  <c r="G29" i="6"/>
  <c r="H29" i="6"/>
  <c r="I29" i="6"/>
  <c r="L29" i="6"/>
  <c r="M29" i="6"/>
  <c r="N29" i="6"/>
  <c r="O29" i="6"/>
  <c r="P29" i="6"/>
  <c r="AN29" i="6" s="1"/>
  <c r="Q29" i="6"/>
  <c r="AR29" i="6" s="1"/>
  <c r="R29" i="6"/>
  <c r="AT29" i="6" s="1"/>
  <c r="D30" i="6"/>
  <c r="AF30" i="6" s="1"/>
  <c r="E30" i="6"/>
  <c r="Y30" i="6" s="1"/>
  <c r="F30" i="6"/>
  <c r="G30" i="6"/>
  <c r="H30" i="6"/>
  <c r="I30" i="6"/>
  <c r="L30" i="6"/>
  <c r="M30" i="6"/>
  <c r="N30" i="6"/>
  <c r="O30" i="6"/>
  <c r="P30" i="6"/>
  <c r="AN30" i="6" s="1"/>
  <c r="Q30" i="6"/>
  <c r="AR30" i="6" s="1"/>
  <c r="R30" i="6"/>
  <c r="AT30" i="6" s="1"/>
  <c r="D31" i="6"/>
  <c r="AO31" i="6" s="1"/>
  <c r="AP31" i="6" s="1"/>
  <c r="AS31" i="6" s="1"/>
  <c r="E31" i="6"/>
  <c r="Y31" i="6" s="1"/>
  <c r="F31" i="6"/>
  <c r="G31" i="6"/>
  <c r="H31" i="6"/>
  <c r="I31" i="6"/>
  <c r="L31" i="6"/>
  <c r="M31" i="6"/>
  <c r="N31" i="6"/>
  <c r="O31" i="6"/>
  <c r="P31" i="6"/>
  <c r="AN31" i="6" s="1"/>
  <c r="Q31" i="6"/>
  <c r="AR31" i="6" s="1"/>
  <c r="R31" i="6"/>
  <c r="AT31" i="6" s="1"/>
  <c r="D32" i="6"/>
  <c r="AO32" i="6" s="1"/>
  <c r="E32" i="6"/>
  <c r="Y32" i="6" s="1"/>
  <c r="F32" i="6"/>
  <c r="G32" i="6"/>
  <c r="H32" i="6"/>
  <c r="I32" i="6"/>
  <c r="L32" i="6"/>
  <c r="M32" i="6"/>
  <c r="N32" i="6"/>
  <c r="O32" i="6"/>
  <c r="P32" i="6"/>
  <c r="AN32" i="6" s="1"/>
  <c r="Q32" i="6"/>
  <c r="AR32" i="6" s="1"/>
  <c r="R32" i="6"/>
  <c r="AT32" i="6" s="1"/>
  <c r="D33" i="6"/>
  <c r="AO33" i="6" s="1"/>
  <c r="E33" i="6"/>
  <c r="Y33" i="6" s="1"/>
  <c r="F33" i="6"/>
  <c r="G33" i="6"/>
  <c r="H33" i="6"/>
  <c r="I33" i="6"/>
  <c r="L33" i="6"/>
  <c r="M33" i="6"/>
  <c r="N33" i="6"/>
  <c r="O33" i="6"/>
  <c r="P33" i="6"/>
  <c r="AN33" i="6" s="1"/>
  <c r="Q33" i="6"/>
  <c r="AR33" i="6" s="1"/>
  <c r="R33" i="6"/>
  <c r="AT33" i="6" s="1"/>
  <c r="D34" i="6"/>
  <c r="AF34" i="6" s="1"/>
  <c r="E34" i="6"/>
  <c r="Y34" i="6" s="1"/>
  <c r="F34" i="6"/>
  <c r="G34" i="6"/>
  <c r="H34" i="6"/>
  <c r="I34" i="6"/>
  <c r="L34" i="6"/>
  <c r="M34" i="6"/>
  <c r="N34" i="6"/>
  <c r="O34" i="6"/>
  <c r="P34" i="6"/>
  <c r="AN34" i="6" s="1"/>
  <c r="Q34" i="6"/>
  <c r="AR34" i="6" s="1"/>
  <c r="R34" i="6"/>
  <c r="AT34" i="6" s="1"/>
  <c r="D35" i="6"/>
  <c r="AO35" i="6" s="1"/>
  <c r="E35" i="6"/>
  <c r="Y35" i="6" s="1"/>
  <c r="F35" i="6"/>
  <c r="G35" i="6"/>
  <c r="H35" i="6"/>
  <c r="I35" i="6"/>
  <c r="L35" i="6"/>
  <c r="M35" i="6"/>
  <c r="N35" i="6"/>
  <c r="O35" i="6"/>
  <c r="P35" i="6"/>
  <c r="AN35" i="6" s="1"/>
  <c r="Q35" i="6"/>
  <c r="AR35" i="6" s="1"/>
  <c r="R35" i="6"/>
  <c r="AT35" i="6" s="1"/>
  <c r="D36" i="6"/>
  <c r="AO36" i="6" s="1"/>
  <c r="E36" i="6"/>
  <c r="Y36" i="6" s="1"/>
  <c r="F36" i="6"/>
  <c r="G36" i="6"/>
  <c r="H36" i="6"/>
  <c r="I36" i="6"/>
  <c r="L36" i="6"/>
  <c r="M36" i="6"/>
  <c r="N36" i="6"/>
  <c r="O36" i="6"/>
  <c r="P36" i="6"/>
  <c r="AN36" i="6" s="1"/>
  <c r="Q36" i="6"/>
  <c r="AR36" i="6" s="1"/>
  <c r="R36" i="6"/>
  <c r="AT36" i="6" s="1"/>
  <c r="D37" i="6"/>
  <c r="AO37" i="6" s="1"/>
  <c r="E37" i="6"/>
  <c r="Y37" i="6" s="1"/>
  <c r="F37" i="6"/>
  <c r="G37" i="6"/>
  <c r="H37" i="6"/>
  <c r="I37" i="6"/>
  <c r="L37" i="6"/>
  <c r="M37" i="6"/>
  <c r="N37" i="6"/>
  <c r="O37" i="6"/>
  <c r="P37" i="6"/>
  <c r="AN37" i="6" s="1"/>
  <c r="Q37" i="6"/>
  <c r="AR37" i="6" s="1"/>
  <c r="R37" i="6"/>
  <c r="AT37" i="6" s="1"/>
  <c r="D38" i="6"/>
  <c r="AF38" i="6" s="1"/>
  <c r="E38" i="6"/>
  <c r="Y38" i="6" s="1"/>
  <c r="F38" i="6"/>
  <c r="G38" i="6"/>
  <c r="H38" i="6"/>
  <c r="I38" i="6"/>
  <c r="L38" i="6"/>
  <c r="M38" i="6"/>
  <c r="N38" i="6"/>
  <c r="O38" i="6"/>
  <c r="P38" i="6"/>
  <c r="AN38" i="6" s="1"/>
  <c r="Q38" i="6"/>
  <c r="AR38" i="6" s="1"/>
  <c r="R38" i="6"/>
  <c r="AT38" i="6" s="1"/>
  <c r="D39" i="6"/>
  <c r="AO39" i="6" s="1"/>
  <c r="E39" i="6"/>
  <c r="Y39" i="6" s="1"/>
  <c r="F39" i="6"/>
  <c r="G39" i="6"/>
  <c r="H39" i="6"/>
  <c r="I39" i="6"/>
  <c r="L39" i="6"/>
  <c r="M39" i="6"/>
  <c r="V39" i="6" s="1"/>
  <c r="N39" i="6"/>
  <c r="O39" i="6"/>
  <c r="P39" i="6"/>
  <c r="AN39" i="6" s="1"/>
  <c r="Q39" i="6"/>
  <c r="AR39" i="6" s="1"/>
  <c r="R39" i="6"/>
  <c r="AT39" i="6" s="1"/>
  <c r="D40" i="6"/>
  <c r="AF40" i="6" s="1"/>
  <c r="E40" i="6"/>
  <c r="Y40" i="6" s="1"/>
  <c r="F40" i="6"/>
  <c r="G40" i="6"/>
  <c r="H40" i="6"/>
  <c r="I40" i="6"/>
  <c r="L40" i="6"/>
  <c r="M40" i="6"/>
  <c r="N40" i="6"/>
  <c r="O40" i="6"/>
  <c r="P40" i="6"/>
  <c r="AN40" i="6" s="1"/>
  <c r="Q40" i="6"/>
  <c r="AR40" i="6" s="1"/>
  <c r="R40" i="6"/>
  <c r="AT40" i="6" s="1"/>
  <c r="AU40" i="6" s="1"/>
  <c r="D41" i="6"/>
  <c r="AF41" i="6" s="1"/>
  <c r="E41" i="6"/>
  <c r="Y41" i="6" s="1"/>
  <c r="F41" i="6"/>
  <c r="G41" i="6"/>
  <c r="H41" i="6"/>
  <c r="I41" i="6"/>
  <c r="L41" i="6"/>
  <c r="M41" i="6"/>
  <c r="V41" i="6" s="1"/>
  <c r="N41" i="6"/>
  <c r="O41" i="6"/>
  <c r="P41" i="6"/>
  <c r="AN41" i="6" s="1"/>
  <c r="Q41" i="6"/>
  <c r="AR41" i="6" s="1"/>
  <c r="R41" i="6"/>
  <c r="AT41" i="6" s="1"/>
  <c r="D42" i="6"/>
  <c r="AO42" i="6" s="1"/>
  <c r="E42" i="6"/>
  <c r="Y42" i="6" s="1"/>
  <c r="F42" i="6"/>
  <c r="G42" i="6"/>
  <c r="H42" i="6"/>
  <c r="I42" i="6"/>
  <c r="L42" i="6"/>
  <c r="M42" i="6"/>
  <c r="N42" i="6"/>
  <c r="O42" i="6"/>
  <c r="P42" i="6"/>
  <c r="AN42" i="6" s="1"/>
  <c r="Q42" i="6"/>
  <c r="AR42" i="6" s="1"/>
  <c r="R42" i="6"/>
  <c r="AT42" i="6" s="1"/>
  <c r="D43" i="6"/>
  <c r="AO43" i="6" s="1"/>
  <c r="E43" i="6"/>
  <c r="Y43" i="6" s="1"/>
  <c r="F43" i="6"/>
  <c r="G43" i="6"/>
  <c r="H43" i="6"/>
  <c r="I43" i="6"/>
  <c r="L43" i="6"/>
  <c r="M43" i="6"/>
  <c r="N43" i="6"/>
  <c r="O43" i="6"/>
  <c r="P43" i="6"/>
  <c r="AN43" i="6" s="1"/>
  <c r="Q43" i="6"/>
  <c r="AR43" i="6" s="1"/>
  <c r="R43" i="6"/>
  <c r="D44" i="6"/>
  <c r="AO44" i="6" s="1"/>
  <c r="E44" i="6"/>
  <c r="Y44" i="6" s="1"/>
  <c r="F44" i="6"/>
  <c r="G44" i="6"/>
  <c r="H44" i="6"/>
  <c r="I44" i="6"/>
  <c r="L44" i="6"/>
  <c r="M44" i="6"/>
  <c r="N44" i="6"/>
  <c r="O44" i="6"/>
  <c r="P44" i="6"/>
  <c r="AN44" i="6" s="1"/>
  <c r="Q44" i="6"/>
  <c r="AR44" i="6" s="1"/>
  <c r="R44" i="6"/>
  <c r="AT44" i="6" s="1"/>
  <c r="AU44" i="6" s="1"/>
  <c r="D45" i="6"/>
  <c r="AO45" i="6" s="1"/>
  <c r="E45" i="6"/>
  <c r="Y45" i="6" s="1"/>
  <c r="F45" i="6"/>
  <c r="G45" i="6"/>
  <c r="H45" i="6"/>
  <c r="I45" i="6"/>
  <c r="L45" i="6"/>
  <c r="M45" i="6"/>
  <c r="N45" i="6"/>
  <c r="O45" i="6"/>
  <c r="P45" i="6"/>
  <c r="AN45" i="6" s="1"/>
  <c r="Q45" i="6"/>
  <c r="AR45" i="6" s="1"/>
  <c r="R45" i="6"/>
  <c r="AT45" i="6" s="1"/>
  <c r="D46" i="6"/>
  <c r="AF46" i="6" s="1"/>
  <c r="E46" i="6"/>
  <c r="Y46" i="6" s="1"/>
  <c r="F46" i="6"/>
  <c r="G46" i="6"/>
  <c r="H46" i="6"/>
  <c r="I46" i="6"/>
  <c r="L46" i="6"/>
  <c r="M46" i="6"/>
  <c r="N46" i="6"/>
  <c r="O46" i="6"/>
  <c r="P46" i="6"/>
  <c r="AN46" i="6" s="1"/>
  <c r="Q46" i="6"/>
  <c r="AR46" i="6" s="1"/>
  <c r="R46" i="6"/>
  <c r="D47" i="6"/>
  <c r="AO47" i="6" s="1"/>
  <c r="E47" i="6"/>
  <c r="Y47" i="6" s="1"/>
  <c r="F47" i="6"/>
  <c r="G47" i="6"/>
  <c r="H47" i="6"/>
  <c r="I47" i="6"/>
  <c r="L47" i="6"/>
  <c r="M47" i="6"/>
  <c r="N47" i="6"/>
  <c r="O47" i="6"/>
  <c r="P47" i="6"/>
  <c r="AN47" i="6" s="1"/>
  <c r="Q47" i="6"/>
  <c r="AR47" i="6" s="1"/>
  <c r="R47" i="6"/>
  <c r="AT47" i="6" s="1"/>
  <c r="AU47" i="6" s="1"/>
  <c r="D48" i="6"/>
  <c r="AO48" i="6" s="1"/>
  <c r="E48" i="6"/>
  <c r="Y48" i="6" s="1"/>
  <c r="F48" i="6"/>
  <c r="G48" i="6"/>
  <c r="H48" i="6"/>
  <c r="I48" i="6"/>
  <c r="L48" i="6"/>
  <c r="M48" i="6"/>
  <c r="N48" i="6"/>
  <c r="O48" i="6"/>
  <c r="P48" i="6"/>
  <c r="AN48" i="6" s="1"/>
  <c r="Q48" i="6"/>
  <c r="AR48" i="6" s="1"/>
  <c r="R48" i="6"/>
  <c r="AT48" i="6" s="1"/>
  <c r="D49" i="6"/>
  <c r="AF49" i="6" s="1"/>
  <c r="E49" i="6"/>
  <c r="Y49" i="6" s="1"/>
  <c r="F49" i="6"/>
  <c r="G49" i="6"/>
  <c r="H49" i="6"/>
  <c r="I49" i="6"/>
  <c r="L49" i="6"/>
  <c r="M49" i="6"/>
  <c r="N49" i="6"/>
  <c r="O49" i="6"/>
  <c r="P49" i="6"/>
  <c r="AN49" i="6" s="1"/>
  <c r="Q49" i="6"/>
  <c r="AR49" i="6" s="1"/>
  <c r="R49" i="6"/>
  <c r="D50" i="6"/>
  <c r="AO50" i="6" s="1"/>
  <c r="E50" i="6"/>
  <c r="Y50" i="6" s="1"/>
  <c r="F50" i="6"/>
  <c r="G50" i="6"/>
  <c r="H50" i="6"/>
  <c r="I50" i="6"/>
  <c r="L50" i="6"/>
  <c r="M50" i="6"/>
  <c r="N50" i="6"/>
  <c r="O50" i="6"/>
  <c r="P50" i="6"/>
  <c r="AN50" i="6" s="1"/>
  <c r="Q50" i="6"/>
  <c r="AR50" i="6" s="1"/>
  <c r="R50" i="6"/>
  <c r="AT50" i="6" s="1"/>
  <c r="AU50" i="6" s="1"/>
  <c r="D51" i="6"/>
  <c r="AF51" i="6" s="1"/>
  <c r="E51" i="6"/>
  <c r="Y51" i="6" s="1"/>
  <c r="F51" i="6"/>
  <c r="G51" i="6"/>
  <c r="H51" i="6"/>
  <c r="I51" i="6"/>
  <c r="L51" i="6"/>
  <c r="M51" i="6"/>
  <c r="N51" i="6"/>
  <c r="O51" i="6"/>
  <c r="P51" i="6"/>
  <c r="AN51" i="6" s="1"/>
  <c r="Q51" i="6"/>
  <c r="AR51" i="6" s="1"/>
  <c r="R51" i="6"/>
  <c r="AT51" i="6" s="1"/>
  <c r="D52" i="6"/>
  <c r="AO52" i="6" s="1"/>
  <c r="E52" i="6"/>
  <c r="Y52" i="6" s="1"/>
  <c r="F52" i="6"/>
  <c r="G52" i="6"/>
  <c r="H52" i="6"/>
  <c r="I52" i="6"/>
  <c r="L52" i="6"/>
  <c r="M52" i="6"/>
  <c r="N52" i="6"/>
  <c r="O52" i="6"/>
  <c r="P52" i="6"/>
  <c r="AN52" i="6" s="1"/>
  <c r="Q52" i="6"/>
  <c r="AR52" i="6" s="1"/>
  <c r="R52" i="6"/>
  <c r="AT52" i="6" s="1"/>
  <c r="D53" i="6"/>
  <c r="AF53" i="6" s="1"/>
  <c r="E53" i="6"/>
  <c r="Y53" i="6" s="1"/>
  <c r="F53" i="6"/>
  <c r="G53" i="6"/>
  <c r="H53" i="6"/>
  <c r="I53" i="6"/>
  <c r="L53" i="6"/>
  <c r="M53" i="6"/>
  <c r="N53" i="6"/>
  <c r="O53" i="6"/>
  <c r="P53" i="6"/>
  <c r="AN53" i="6" s="1"/>
  <c r="Q53" i="6"/>
  <c r="AR53" i="6" s="1"/>
  <c r="R53" i="6"/>
  <c r="D54" i="6"/>
  <c r="AF54" i="6" s="1"/>
  <c r="E54" i="6"/>
  <c r="Y54" i="6" s="1"/>
  <c r="F54" i="6"/>
  <c r="G54" i="6"/>
  <c r="H54" i="6"/>
  <c r="I54" i="6"/>
  <c r="L54" i="6"/>
  <c r="M54" i="6"/>
  <c r="V54" i="6" s="1"/>
  <c r="N54" i="6"/>
  <c r="O54" i="6"/>
  <c r="P54" i="6"/>
  <c r="AN54" i="6" s="1"/>
  <c r="Q54" i="6"/>
  <c r="AR54" i="6" s="1"/>
  <c r="R54" i="6"/>
  <c r="AT54" i="6" s="1"/>
  <c r="D55" i="6"/>
  <c r="AO55" i="6" s="1"/>
  <c r="E55" i="6"/>
  <c r="Y55" i="6" s="1"/>
  <c r="F55" i="6"/>
  <c r="G55" i="6"/>
  <c r="H55" i="6"/>
  <c r="I55" i="6"/>
  <c r="L55" i="6"/>
  <c r="M55" i="6"/>
  <c r="V55" i="6" s="1"/>
  <c r="N55" i="6"/>
  <c r="O55" i="6"/>
  <c r="P55" i="6"/>
  <c r="AN55" i="6" s="1"/>
  <c r="Q55" i="6"/>
  <c r="AR55" i="6" s="1"/>
  <c r="R55" i="6"/>
  <c r="AT55" i="6" s="1"/>
  <c r="D56" i="6"/>
  <c r="AO56" i="6" s="1"/>
  <c r="E56" i="6"/>
  <c r="Y56" i="6" s="1"/>
  <c r="F56" i="6"/>
  <c r="G56" i="6"/>
  <c r="H56" i="6"/>
  <c r="I56" i="6"/>
  <c r="L56" i="6"/>
  <c r="M56" i="6"/>
  <c r="V56" i="6" s="1"/>
  <c r="N56" i="6"/>
  <c r="O56" i="6"/>
  <c r="P56" i="6"/>
  <c r="AN56" i="6" s="1"/>
  <c r="Q56" i="6"/>
  <c r="AR56" i="6" s="1"/>
  <c r="R56" i="6"/>
  <c r="AT56" i="6" s="1"/>
  <c r="D57" i="6"/>
  <c r="AO57" i="6" s="1"/>
  <c r="E57" i="6"/>
  <c r="Y57" i="6" s="1"/>
  <c r="Z57" i="6" s="1"/>
  <c r="F57" i="6"/>
  <c r="G57" i="6"/>
  <c r="H57" i="6"/>
  <c r="I57" i="6"/>
  <c r="L57" i="6"/>
  <c r="M57" i="6"/>
  <c r="V57" i="6" s="1"/>
  <c r="N57" i="6"/>
  <c r="O57" i="6"/>
  <c r="P57" i="6"/>
  <c r="AN57" i="6" s="1"/>
  <c r="Q57" i="6"/>
  <c r="AR57" i="6" s="1"/>
  <c r="R57" i="6"/>
  <c r="AT57" i="6" s="1"/>
  <c r="D58" i="6"/>
  <c r="AO58" i="6" s="1"/>
  <c r="E58" i="6"/>
  <c r="Y58" i="6" s="1"/>
  <c r="F58" i="6"/>
  <c r="G58" i="6"/>
  <c r="H58" i="6"/>
  <c r="I58" i="6"/>
  <c r="L58" i="6"/>
  <c r="M58" i="6"/>
  <c r="V58" i="6" s="1"/>
  <c r="N58" i="6"/>
  <c r="O58" i="6"/>
  <c r="P58" i="6"/>
  <c r="AN58" i="6" s="1"/>
  <c r="Q58" i="6"/>
  <c r="AR58" i="6" s="1"/>
  <c r="R58" i="6"/>
  <c r="AT58" i="6" s="1"/>
  <c r="D59" i="6"/>
  <c r="AF59" i="6" s="1"/>
  <c r="E59" i="6"/>
  <c r="Y59" i="6" s="1"/>
  <c r="F59" i="6"/>
  <c r="G59" i="6"/>
  <c r="H59" i="6"/>
  <c r="I59" i="6"/>
  <c r="L59" i="6"/>
  <c r="M59" i="6"/>
  <c r="V59" i="6" s="1"/>
  <c r="N59" i="6"/>
  <c r="O59" i="6"/>
  <c r="P59" i="6"/>
  <c r="AN59" i="6" s="1"/>
  <c r="Q59" i="6"/>
  <c r="AR59" i="6" s="1"/>
  <c r="R59" i="6"/>
  <c r="AT59" i="6" s="1"/>
  <c r="D60" i="6"/>
  <c r="AO60" i="6" s="1"/>
  <c r="E60" i="6"/>
  <c r="Y60" i="6" s="1"/>
  <c r="F60" i="6"/>
  <c r="G60" i="6"/>
  <c r="H60" i="6"/>
  <c r="I60" i="6"/>
  <c r="L60" i="6"/>
  <c r="M60" i="6"/>
  <c r="V60" i="6" s="1"/>
  <c r="N60" i="6"/>
  <c r="O60" i="6"/>
  <c r="P60" i="6"/>
  <c r="AN60" i="6" s="1"/>
  <c r="Q60" i="6"/>
  <c r="AR60" i="6" s="1"/>
  <c r="R60" i="6"/>
  <c r="AT60" i="6" s="1"/>
  <c r="D61" i="6"/>
  <c r="AO61" i="6" s="1"/>
  <c r="E61" i="6"/>
  <c r="Y61" i="6" s="1"/>
  <c r="F61" i="6"/>
  <c r="G61" i="6"/>
  <c r="H61" i="6"/>
  <c r="I61" i="6"/>
  <c r="L61" i="6"/>
  <c r="M61" i="6"/>
  <c r="V61" i="6" s="1"/>
  <c r="N61" i="6"/>
  <c r="O61" i="6"/>
  <c r="P61" i="6"/>
  <c r="AN61" i="6" s="1"/>
  <c r="Q61" i="6"/>
  <c r="AR61" i="6" s="1"/>
  <c r="R61" i="6"/>
  <c r="AT61" i="6" s="1"/>
  <c r="D62" i="6"/>
  <c r="AF62" i="6" s="1"/>
  <c r="E62" i="6"/>
  <c r="Y62" i="6" s="1"/>
  <c r="F62" i="6"/>
  <c r="G62" i="6"/>
  <c r="H62" i="6"/>
  <c r="I62" i="6"/>
  <c r="L62" i="6"/>
  <c r="M62" i="6"/>
  <c r="N62" i="6"/>
  <c r="O62" i="6"/>
  <c r="P62" i="6"/>
  <c r="AN62" i="6" s="1"/>
  <c r="Q62" i="6"/>
  <c r="AR62" i="6" s="1"/>
  <c r="R62" i="6"/>
  <c r="D63" i="6"/>
  <c r="AO63" i="6" s="1"/>
  <c r="E63" i="6"/>
  <c r="Y63" i="6" s="1"/>
  <c r="F63" i="6"/>
  <c r="G63" i="6"/>
  <c r="H63" i="6"/>
  <c r="I63" i="6"/>
  <c r="L63" i="6"/>
  <c r="M63" i="6"/>
  <c r="N63" i="6"/>
  <c r="O63" i="6"/>
  <c r="P63" i="6"/>
  <c r="AN63" i="6" s="1"/>
  <c r="Q63" i="6"/>
  <c r="AR63" i="6" s="1"/>
  <c r="R63" i="6"/>
  <c r="D64" i="6"/>
  <c r="AO64" i="6" s="1"/>
  <c r="E64" i="6"/>
  <c r="Y64" i="6" s="1"/>
  <c r="F64" i="6"/>
  <c r="G64" i="6"/>
  <c r="H64" i="6"/>
  <c r="I64" i="6"/>
  <c r="L64" i="6"/>
  <c r="M64" i="6"/>
  <c r="N64" i="6"/>
  <c r="O64" i="6"/>
  <c r="P64" i="6"/>
  <c r="AN64" i="6" s="1"/>
  <c r="Q64" i="6"/>
  <c r="AR64" i="6" s="1"/>
  <c r="R64" i="6"/>
  <c r="D65" i="6"/>
  <c r="AF65" i="6" s="1"/>
  <c r="E65" i="6"/>
  <c r="Y65" i="6" s="1"/>
  <c r="Z65" i="6" s="1"/>
  <c r="F65" i="6"/>
  <c r="G65" i="6"/>
  <c r="H65" i="6"/>
  <c r="I65" i="6"/>
  <c r="L65" i="6"/>
  <c r="M65" i="6"/>
  <c r="V65" i="6" s="1"/>
  <c r="N65" i="6"/>
  <c r="O65" i="6"/>
  <c r="P65" i="6"/>
  <c r="AN65" i="6" s="1"/>
  <c r="Q65" i="6"/>
  <c r="AR65" i="6" s="1"/>
  <c r="R65" i="6"/>
  <c r="AT65" i="6" s="1"/>
  <c r="D66" i="6"/>
  <c r="AF66" i="6" s="1"/>
  <c r="E66" i="6"/>
  <c r="Y66" i="6" s="1"/>
  <c r="F66" i="6"/>
  <c r="G66" i="6"/>
  <c r="H66" i="6"/>
  <c r="I66" i="6"/>
  <c r="L66" i="6"/>
  <c r="M66" i="6"/>
  <c r="V66" i="6" s="1"/>
  <c r="N66" i="6"/>
  <c r="O66" i="6"/>
  <c r="P66" i="6"/>
  <c r="AN66" i="6" s="1"/>
  <c r="Q66" i="6"/>
  <c r="AR66" i="6" s="1"/>
  <c r="R66" i="6"/>
  <c r="AT66" i="6" s="1"/>
  <c r="D67" i="6"/>
  <c r="AF67" i="6" s="1"/>
  <c r="E67" i="6"/>
  <c r="Y67" i="6" s="1"/>
  <c r="F67" i="6"/>
  <c r="G67" i="6"/>
  <c r="H67" i="6"/>
  <c r="I67" i="6"/>
  <c r="L67" i="6"/>
  <c r="M67" i="6"/>
  <c r="N67" i="6"/>
  <c r="O67" i="6"/>
  <c r="P67" i="6"/>
  <c r="AN67" i="6" s="1"/>
  <c r="Q67" i="6"/>
  <c r="AR67" i="6" s="1"/>
  <c r="R67" i="6"/>
  <c r="D68" i="6"/>
  <c r="AF68" i="6" s="1"/>
  <c r="E68" i="6"/>
  <c r="Y68" i="6" s="1"/>
  <c r="F68" i="6"/>
  <c r="G68" i="6"/>
  <c r="H68" i="6"/>
  <c r="I68" i="6"/>
  <c r="L68" i="6"/>
  <c r="M68" i="6"/>
  <c r="N68" i="6"/>
  <c r="O68" i="6"/>
  <c r="P68" i="6"/>
  <c r="AN68" i="6" s="1"/>
  <c r="Q68" i="6"/>
  <c r="AR68" i="6" s="1"/>
  <c r="R68" i="6"/>
  <c r="D69" i="6"/>
  <c r="AF69" i="6" s="1"/>
  <c r="E69" i="6"/>
  <c r="Y69" i="6" s="1"/>
  <c r="F69" i="6"/>
  <c r="G69" i="6"/>
  <c r="H69" i="6"/>
  <c r="I69" i="6"/>
  <c r="L69" i="6"/>
  <c r="M69" i="6"/>
  <c r="N69" i="6"/>
  <c r="O69" i="6"/>
  <c r="P69" i="6"/>
  <c r="AN69" i="6" s="1"/>
  <c r="Q69" i="6"/>
  <c r="AR69" i="6" s="1"/>
  <c r="R69" i="6"/>
  <c r="D70" i="6"/>
  <c r="AF70" i="6" s="1"/>
  <c r="E70" i="6"/>
  <c r="Y70" i="6" s="1"/>
  <c r="F70" i="6"/>
  <c r="G70" i="6"/>
  <c r="H70" i="6"/>
  <c r="I70" i="6"/>
  <c r="L70" i="6"/>
  <c r="M70" i="6"/>
  <c r="N70" i="6"/>
  <c r="O70" i="6"/>
  <c r="P70" i="6"/>
  <c r="AN70" i="6" s="1"/>
  <c r="Q70" i="6"/>
  <c r="AR70" i="6" s="1"/>
  <c r="R70" i="6"/>
  <c r="AT70" i="6" s="1"/>
  <c r="D71" i="6"/>
  <c r="AF71" i="6" s="1"/>
  <c r="E71" i="6"/>
  <c r="Y71" i="6" s="1"/>
  <c r="F71" i="6"/>
  <c r="G71" i="6"/>
  <c r="H71" i="6"/>
  <c r="I71" i="6"/>
  <c r="L71" i="6"/>
  <c r="M71" i="6"/>
  <c r="N71" i="6"/>
  <c r="O71" i="6"/>
  <c r="P71" i="6"/>
  <c r="AN71" i="6" s="1"/>
  <c r="Q71" i="6"/>
  <c r="AR71" i="6" s="1"/>
  <c r="R71" i="6"/>
  <c r="D72" i="6"/>
  <c r="AF72" i="6" s="1"/>
  <c r="E72" i="6"/>
  <c r="Y72" i="6" s="1"/>
  <c r="F72" i="6"/>
  <c r="G72" i="6"/>
  <c r="H72" i="6"/>
  <c r="I72" i="6"/>
  <c r="L72" i="6"/>
  <c r="M72" i="6"/>
  <c r="V72" i="6" s="1"/>
  <c r="N72" i="6"/>
  <c r="O72" i="6"/>
  <c r="P72" i="6"/>
  <c r="AN72" i="6" s="1"/>
  <c r="Q72" i="6"/>
  <c r="AR72" i="6" s="1"/>
  <c r="R72" i="6"/>
  <c r="AT72" i="6" s="1"/>
  <c r="D73" i="6"/>
  <c r="AF73" i="6" s="1"/>
  <c r="E73" i="6"/>
  <c r="Y73" i="6" s="1"/>
  <c r="F73" i="6"/>
  <c r="G73" i="6"/>
  <c r="H73" i="6"/>
  <c r="I73" i="6"/>
  <c r="L73" i="6"/>
  <c r="M73" i="6"/>
  <c r="V73" i="6" s="1"/>
  <c r="N73" i="6"/>
  <c r="O73" i="6"/>
  <c r="P73" i="6"/>
  <c r="AN73" i="6" s="1"/>
  <c r="Q73" i="6"/>
  <c r="AR73" i="6" s="1"/>
  <c r="R73" i="6"/>
  <c r="AT73" i="6" s="1"/>
  <c r="D74" i="6"/>
  <c r="AF74" i="6" s="1"/>
  <c r="E74" i="6"/>
  <c r="Y74" i="6" s="1"/>
  <c r="F74" i="6"/>
  <c r="G74" i="6"/>
  <c r="H74" i="6"/>
  <c r="I74" i="6"/>
  <c r="L74" i="6"/>
  <c r="M74" i="6"/>
  <c r="V74" i="6" s="1"/>
  <c r="N74" i="6"/>
  <c r="O74" i="6"/>
  <c r="P74" i="6"/>
  <c r="AN74" i="6" s="1"/>
  <c r="Q74" i="6"/>
  <c r="AR74" i="6" s="1"/>
  <c r="R74" i="6"/>
  <c r="AT74" i="6" s="1"/>
  <c r="D75" i="6"/>
  <c r="AF75" i="6" s="1"/>
  <c r="E75" i="6"/>
  <c r="Y75" i="6" s="1"/>
  <c r="F75" i="6"/>
  <c r="G75" i="6"/>
  <c r="H75" i="6"/>
  <c r="I75" i="6"/>
  <c r="L75" i="6"/>
  <c r="M75" i="6"/>
  <c r="V75" i="6" s="1"/>
  <c r="N75" i="6"/>
  <c r="O75" i="6"/>
  <c r="P75" i="6"/>
  <c r="AN75" i="6" s="1"/>
  <c r="Q75" i="6"/>
  <c r="AR75" i="6" s="1"/>
  <c r="R75" i="6"/>
  <c r="AT75" i="6" s="1"/>
  <c r="D76" i="6"/>
  <c r="AF76" i="6" s="1"/>
  <c r="E76" i="6"/>
  <c r="Y76" i="6" s="1"/>
  <c r="F76" i="6"/>
  <c r="G76" i="6"/>
  <c r="H76" i="6"/>
  <c r="I76" i="6"/>
  <c r="L76" i="6"/>
  <c r="M76" i="6"/>
  <c r="V76" i="6" s="1"/>
  <c r="N76" i="6"/>
  <c r="O76" i="6"/>
  <c r="P76" i="6"/>
  <c r="AN76" i="6" s="1"/>
  <c r="Q76" i="6"/>
  <c r="AR76" i="6" s="1"/>
  <c r="R76" i="6"/>
  <c r="AT76" i="6" s="1"/>
  <c r="D77" i="6"/>
  <c r="AF77" i="6" s="1"/>
  <c r="E77" i="6"/>
  <c r="Y77" i="6" s="1"/>
  <c r="F77" i="6"/>
  <c r="G77" i="6"/>
  <c r="H77" i="6"/>
  <c r="I77" i="6"/>
  <c r="L77" i="6"/>
  <c r="M77" i="6"/>
  <c r="V77" i="6" s="1"/>
  <c r="N77" i="6"/>
  <c r="O77" i="6"/>
  <c r="P77" i="6"/>
  <c r="AN77" i="6" s="1"/>
  <c r="Q77" i="6"/>
  <c r="AR77" i="6" s="1"/>
  <c r="R77" i="6"/>
  <c r="AT77" i="6" s="1"/>
  <c r="D78" i="6"/>
  <c r="AF78" i="6" s="1"/>
  <c r="E78" i="6"/>
  <c r="Y78" i="6" s="1"/>
  <c r="Z78" i="6" s="1"/>
  <c r="F78" i="6"/>
  <c r="G78" i="6"/>
  <c r="H78" i="6"/>
  <c r="I78" i="6"/>
  <c r="L78" i="6"/>
  <c r="M78" i="6"/>
  <c r="V78" i="6" s="1"/>
  <c r="N78" i="6"/>
  <c r="O78" i="6"/>
  <c r="P78" i="6"/>
  <c r="Q78" i="6"/>
  <c r="R78" i="6"/>
  <c r="D79" i="6"/>
  <c r="AF79" i="6" s="1"/>
  <c r="E79" i="6"/>
  <c r="Y79" i="6" s="1"/>
  <c r="F79" i="6"/>
  <c r="G79" i="6"/>
  <c r="H79" i="6"/>
  <c r="I79" i="6"/>
  <c r="L79" i="6"/>
  <c r="M79" i="6"/>
  <c r="V79" i="6" s="1"/>
  <c r="N79" i="6"/>
  <c r="O79" i="6"/>
  <c r="P79" i="6"/>
  <c r="Q79" i="6"/>
  <c r="R79" i="6"/>
  <c r="D80" i="6"/>
  <c r="AF80" i="6" s="1"/>
  <c r="E80" i="6"/>
  <c r="Y80" i="6" s="1"/>
  <c r="F80" i="6"/>
  <c r="G80" i="6"/>
  <c r="H80" i="6"/>
  <c r="I80" i="6"/>
  <c r="L80" i="6"/>
  <c r="M80" i="6"/>
  <c r="V80" i="6" s="1"/>
  <c r="N80" i="6"/>
  <c r="O80" i="6"/>
  <c r="P80" i="6"/>
  <c r="Q80" i="6"/>
  <c r="R80" i="6"/>
  <c r="D81" i="6"/>
  <c r="AF81" i="6" s="1"/>
  <c r="E81" i="6"/>
  <c r="Y81" i="6" s="1"/>
  <c r="F81" i="6"/>
  <c r="G81" i="6"/>
  <c r="H81" i="6"/>
  <c r="I81" i="6"/>
  <c r="L81" i="6"/>
  <c r="M81" i="6"/>
  <c r="V81" i="6" s="1"/>
  <c r="N81" i="6"/>
  <c r="O81" i="6"/>
  <c r="P81" i="6"/>
  <c r="Q81" i="6"/>
  <c r="R81" i="6"/>
  <c r="AF26" i="6"/>
  <c r="I27" i="6"/>
  <c r="D71" i="2"/>
  <c r="D70" i="2"/>
  <c r="R27" i="6"/>
  <c r="AT27" i="6" s="1"/>
  <c r="Q27" i="6"/>
  <c r="AR27" i="6" s="1"/>
  <c r="O27" i="6"/>
  <c r="M27" i="6"/>
  <c r="N27" i="6"/>
  <c r="L27" i="6"/>
  <c r="F27" i="6"/>
  <c r="G27" i="6"/>
  <c r="H27" i="6"/>
  <c r="E27" i="6"/>
  <c r="Y27" i="6" s="1"/>
  <c r="D27" i="6"/>
  <c r="AB27" i="6" s="1"/>
  <c r="C27" i="6"/>
  <c r="AJ27" i="6" s="1"/>
  <c r="C26" i="6"/>
  <c r="AJ26" i="6" s="1"/>
  <c r="AX98" i="7"/>
  <c r="AV98" i="7"/>
  <c r="AR98" i="7"/>
  <c r="AS98" i="7" s="1"/>
  <c r="AO98" i="7"/>
  <c r="AB98" i="7"/>
  <c r="AA98" i="7"/>
  <c r="BA98" i="7"/>
  <c r="BD98" i="7" s="1"/>
  <c r="AX97" i="7"/>
  <c r="AV97" i="7"/>
  <c r="AR97" i="7"/>
  <c r="AS97" i="7" s="1"/>
  <c r="AO97" i="7"/>
  <c r="BA97" i="7"/>
  <c r="BD97" i="7" s="1"/>
  <c r="AX96" i="7"/>
  <c r="AV96" i="7"/>
  <c r="AR96" i="7"/>
  <c r="AS96" i="7" s="1"/>
  <c r="AO96" i="7"/>
  <c r="AX95" i="7"/>
  <c r="AV95" i="7"/>
  <c r="AR95" i="7"/>
  <c r="AS95" i="7" s="1"/>
  <c r="AO95" i="7"/>
  <c r="BA95" i="7"/>
  <c r="BD95" i="7" s="1"/>
  <c r="BA94" i="7"/>
  <c r="BD94" i="7" s="1"/>
  <c r="AX94" i="7"/>
  <c r="AV94" i="7"/>
  <c r="AR94" i="7"/>
  <c r="AS94" i="7" s="1"/>
  <c r="AO94" i="7"/>
  <c r="BA93" i="7"/>
  <c r="BD93" i="7" s="1"/>
  <c r="AX93" i="7"/>
  <c r="AV93" i="7"/>
  <c r="AR93" i="7"/>
  <c r="AS93" i="7" s="1"/>
  <c r="AO93" i="7"/>
  <c r="AB93" i="7"/>
  <c r="AA93" i="7"/>
  <c r="AX92" i="7"/>
  <c r="AV92" i="7"/>
  <c r="AR92" i="7"/>
  <c r="AS92" i="7" s="1"/>
  <c r="AO92" i="7"/>
  <c r="BA92" i="7"/>
  <c r="BD92" i="7" s="1"/>
  <c r="AX91" i="7"/>
  <c r="AV91" i="7"/>
  <c r="AR91" i="7"/>
  <c r="AS91" i="7" s="1"/>
  <c r="AO91" i="7"/>
  <c r="AA91" i="7"/>
  <c r="BM91" i="7" s="1"/>
  <c r="BA90" i="7"/>
  <c r="BD90" i="7" s="1"/>
  <c r="AX90" i="7"/>
  <c r="AV90" i="7"/>
  <c r="AR90" i="7"/>
  <c r="AS90" i="7" s="1"/>
  <c r="AO90" i="7"/>
  <c r="AX89" i="7"/>
  <c r="AV89" i="7"/>
  <c r="AR89" i="7"/>
  <c r="AS89" i="7" s="1"/>
  <c r="AO89" i="7"/>
  <c r="AB89" i="7"/>
  <c r="BA89" i="7"/>
  <c r="BD89" i="7" s="1"/>
  <c r="AX88" i="7"/>
  <c r="AV88" i="7"/>
  <c r="AR88" i="7"/>
  <c r="AS88" i="7" s="1"/>
  <c r="AO88" i="7"/>
  <c r="AX87" i="7"/>
  <c r="AV87" i="7"/>
  <c r="AR87" i="7"/>
  <c r="AS87" i="7" s="1"/>
  <c r="AO87" i="7"/>
  <c r="BA87" i="7"/>
  <c r="BD87" i="7" s="1"/>
  <c r="BA86" i="7"/>
  <c r="BD86" i="7" s="1"/>
  <c r="AX86" i="7"/>
  <c r="AV86" i="7"/>
  <c r="AR86" i="7"/>
  <c r="AS86" i="7" s="1"/>
  <c r="AO86" i="7"/>
  <c r="BA85" i="7"/>
  <c r="BD85" i="7" s="1"/>
  <c r="AX85" i="7"/>
  <c r="AV85" i="7"/>
  <c r="AR85" i="7"/>
  <c r="AS85" i="7" s="1"/>
  <c r="AO85" i="7"/>
  <c r="AX84" i="7"/>
  <c r="AV84" i="7"/>
  <c r="AR84" i="7"/>
  <c r="AS84" i="7" s="1"/>
  <c r="AO84" i="7"/>
  <c r="BA84" i="7"/>
  <c r="BD84" i="7" s="1"/>
  <c r="AX83" i="7"/>
  <c r="AV83" i="7"/>
  <c r="AR83" i="7"/>
  <c r="AS83" i="7" s="1"/>
  <c r="AO83" i="7"/>
  <c r="BA82" i="7"/>
  <c r="BD82" i="7" s="1"/>
  <c r="AX82" i="7"/>
  <c r="AV82" i="7"/>
  <c r="AR82" i="7"/>
  <c r="AS82" i="7" s="1"/>
  <c r="AO82" i="7"/>
  <c r="AX81" i="7"/>
  <c r="AV81" i="7"/>
  <c r="AR81" i="7"/>
  <c r="AS81" i="7" s="1"/>
  <c r="AO81" i="7"/>
  <c r="BA81" i="7"/>
  <c r="BD81" i="7" s="1"/>
  <c r="AX80" i="7"/>
  <c r="AV80" i="7"/>
  <c r="AR80" i="7"/>
  <c r="AS80" i="7" s="1"/>
  <c r="AO80" i="7"/>
  <c r="AB80" i="7"/>
  <c r="AX79" i="7"/>
  <c r="AV79" i="7"/>
  <c r="AR79" i="7"/>
  <c r="AS79" i="7" s="1"/>
  <c r="AO79" i="7"/>
  <c r="BA79" i="7"/>
  <c r="BD79" i="7" s="1"/>
  <c r="BA78" i="7"/>
  <c r="BD78" i="7" s="1"/>
  <c r="AX78" i="7"/>
  <c r="AV78" i="7"/>
  <c r="AR78" i="7"/>
  <c r="AS78" i="7" s="1"/>
  <c r="AO78" i="7"/>
  <c r="AB78" i="7"/>
  <c r="AA78" i="7"/>
  <c r="BA77" i="7"/>
  <c r="BD77" i="7" s="1"/>
  <c r="AX77" i="7"/>
  <c r="AV77" i="7"/>
  <c r="AR77" i="7"/>
  <c r="AS77" i="7" s="1"/>
  <c r="AO77" i="7"/>
  <c r="AX76" i="7"/>
  <c r="AV76" i="7"/>
  <c r="AR76" i="7"/>
  <c r="AS76" i="7" s="1"/>
  <c r="AO76" i="7"/>
  <c r="AB76" i="7"/>
  <c r="AA76" i="7"/>
  <c r="BA76" i="7"/>
  <c r="BD76" i="7" s="1"/>
  <c r="AX75" i="7"/>
  <c r="AV75" i="7"/>
  <c r="AR75" i="7"/>
  <c r="AS75" i="7" s="1"/>
  <c r="AO75" i="7"/>
  <c r="BA74" i="7"/>
  <c r="BD74" i="7" s="1"/>
  <c r="AX74" i="7"/>
  <c r="AV74" i="7"/>
  <c r="AR74" i="7"/>
  <c r="AS74" i="7" s="1"/>
  <c r="AO74" i="7"/>
  <c r="AX73" i="7"/>
  <c r="AV73" i="7"/>
  <c r="AR73" i="7"/>
  <c r="AS73" i="7" s="1"/>
  <c r="AO73" i="7"/>
  <c r="BA73" i="7"/>
  <c r="BD73" i="7" s="1"/>
  <c r="AX72" i="7"/>
  <c r="AV72" i="7"/>
  <c r="AR72" i="7"/>
  <c r="AS72" i="7" s="1"/>
  <c r="AO72" i="7"/>
  <c r="AB72" i="7"/>
  <c r="AA72" i="7"/>
  <c r="BA71" i="7"/>
  <c r="BD71" i="7" s="1"/>
  <c r="AX71" i="7"/>
  <c r="AV71" i="7"/>
  <c r="AR71" i="7"/>
  <c r="AS71" i="7" s="1"/>
  <c r="AO71" i="7"/>
  <c r="AX70" i="7"/>
  <c r="AV70" i="7"/>
  <c r="AR70" i="7"/>
  <c r="AS70" i="7" s="1"/>
  <c r="AO70" i="7"/>
  <c r="AX69" i="7"/>
  <c r="AV69" i="7"/>
  <c r="AR69" i="7"/>
  <c r="AS69" i="7" s="1"/>
  <c r="AA69" i="7"/>
  <c r="BA69" i="7"/>
  <c r="BD69" i="7" s="1"/>
  <c r="AX68" i="7"/>
  <c r="AV68" i="7"/>
  <c r="AR68" i="7"/>
  <c r="AS68" i="7" s="1"/>
  <c r="AO68" i="7"/>
  <c r="BA68" i="7"/>
  <c r="BD68" i="7" s="1"/>
  <c r="AX67" i="7"/>
  <c r="AV67" i="7"/>
  <c r="AR67" i="7"/>
  <c r="AS67" i="7" s="1"/>
  <c r="AO67" i="7"/>
  <c r="AX66" i="7"/>
  <c r="AV66" i="7"/>
  <c r="AR66" i="7"/>
  <c r="AS66" i="7" s="1"/>
  <c r="AO66" i="7"/>
  <c r="BA66" i="7"/>
  <c r="BD66" i="7" s="1"/>
  <c r="AX65" i="7"/>
  <c r="AV65" i="7"/>
  <c r="AR65" i="7"/>
  <c r="AS65" i="7" s="1"/>
  <c r="AO65" i="7"/>
  <c r="AA65" i="7"/>
  <c r="BM65" i="7" s="1"/>
  <c r="AX64" i="7"/>
  <c r="AV64" i="7"/>
  <c r="AR64" i="7"/>
  <c r="AS64" i="7" s="1"/>
  <c r="AO64" i="7"/>
  <c r="AB64" i="7"/>
  <c r="AX63" i="7"/>
  <c r="AV63" i="7"/>
  <c r="AR63" i="7"/>
  <c r="AS63" i="7" s="1"/>
  <c r="AO63" i="7"/>
  <c r="BA63" i="7"/>
  <c r="BD63" i="7" s="1"/>
  <c r="BA62" i="7"/>
  <c r="BD62" i="7" s="1"/>
  <c r="AX62" i="7"/>
  <c r="AV62" i="7"/>
  <c r="AR62" i="7"/>
  <c r="AS62" i="7" s="1"/>
  <c r="AO62" i="7"/>
  <c r="AX61" i="7"/>
  <c r="AV61" i="7"/>
  <c r="AR61" i="7"/>
  <c r="AS61" i="7" s="1"/>
  <c r="AO61" i="7"/>
  <c r="AB61" i="7"/>
  <c r="AA61" i="7"/>
  <c r="BA61" i="7"/>
  <c r="BD61" i="7" s="1"/>
  <c r="BA60" i="7"/>
  <c r="BD60" i="7" s="1"/>
  <c r="AX60" i="7"/>
  <c r="AV60" i="7"/>
  <c r="BA59" i="7"/>
  <c r="BD59" i="7" s="1"/>
  <c r="AX59" i="7"/>
  <c r="AV59" i="7"/>
  <c r="AR59" i="7"/>
  <c r="AS59" i="7" s="1"/>
  <c r="AO59" i="7"/>
  <c r="AA59" i="7"/>
  <c r="BM59" i="7" s="1"/>
  <c r="BA58" i="7"/>
  <c r="BD58" i="7" s="1"/>
  <c r="AX58" i="7"/>
  <c r="AV58" i="7"/>
  <c r="AR58" i="7"/>
  <c r="AS58" i="7" s="1"/>
  <c r="AO58" i="7"/>
  <c r="AX57" i="7"/>
  <c r="AV57" i="7"/>
  <c r="AA57" i="7"/>
  <c r="BM57" i="7" s="1"/>
  <c r="BA56" i="7"/>
  <c r="BD56" i="7" s="1"/>
  <c r="AX56" i="7"/>
  <c r="AV56" i="7"/>
  <c r="AR56" i="7"/>
  <c r="AS56" i="7" s="1"/>
  <c r="AO56" i="7"/>
  <c r="BA55" i="7"/>
  <c r="BD55" i="7" s="1"/>
  <c r="AX55" i="7"/>
  <c r="AV55" i="7"/>
  <c r="AR55" i="7"/>
  <c r="AS55" i="7" s="1"/>
  <c r="AO55" i="7"/>
  <c r="AX54" i="7"/>
  <c r="AV54" i="7"/>
  <c r="AR54" i="7"/>
  <c r="AS54" i="7" s="1"/>
  <c r="AO54" i="7"/>
  <c r="AB54" i="7"/>
  <c r="AX53" i="7"/>
  <c r="AV53" i="7"/>
  <c r="AR53" i="7"/>
  <c r="AS53" i="7" s="1"/>
  <c r="AO53" i="7"/>
  <c r="BA53" i="7"/>
  <c r="BD53" i="7" s="1"/>
  <c r="BA52" i="7"/>
  <c r="BD52" i="7" s="1"/>
  <c r="AX52" i="7"/>
  <c r="AV52" i="7"/>
  <c r="BA51" i="7"/>
  <c r="BD51" i="7" s="1"/>
  <c r="AX51" i="7"/>
  <c r="AV51" i="7"/>
  <c r="AR51" i="7"/>
  <c r="AS51" i="7" s="1"/>
  <c r="AB51" i="7"/>
  <c r="BA50" i="7"/>
  <c r="BD50" i="7" s="1"/>
  <c r="AX50" i="7"/>
  <c r="AV50" i="7"/>
  <c r="AR50" i="7"/>
  <c r="AS50" i="7" s="1"/>
  <c r="AO50" i="7"/>
  <c r="BA49" i="7"/>
  <c r="BD49" i="7" s="1"/>
  <c r="AX49" i="7"/>
  <c r="AV49" i="7"/>
  <c r="AR49" i="7"/>
  <c r="AS49" i="7" s="1"/>
  <c r="AO49" i="7"/>
  <c r="BA48" i="7"/>
  <c r="BD48" i="7" s="1"/>
  <c r="AX48" i="7"/>
  <c r="AV48" i="7"/>
  <c r="AR48" i="7"/>
  <c r="AS48" i="7" s="1"/>
  <c r="AO48" i="7"/>
  <c r="BA47" i="7"/>
  <c r="BD47" i="7" s="1"/>
  <c r="AX47" i="7"/>
  <c r="AV47" i="7"/>
  <c r="AR47" i="7"/>
  <c r="AS47" i="7" s="1"/>
  <c r="AO47" i="7"/>
  <c r="BA46" i="7"/>
  <c r="BD46" i="7" s="1"/>
  <c r="AX46" i="7"/>
  <c r="AV46" i="7"/>
  <c r="AR46" i="7"/>
  <c r="AS46" i="7" s="1"/>
  <c r="BA45" i="7"/>
  <c r="BD45" i="7" s="1"/>
  <c r="AX45" i="7"/>
  <c r="AV45" i="7"/>
  <c r="AR45" i="7"/>
  <c r="AS45" i="7" s="1"/>
  <c r="AO45" i="7"/>
  <c r="BA44" i="7"/>
  <c r="BD44" i="7" s="1"/>
  <c r="AX44" i="7"/>
  <c r="AV44" i="7"/>
  <c r="AR44" i="7"/>
  <c r="AS44" i="7" s="1"/>
  <c r="AO44" i="7"/>
  <c r="BA43" i="7"/>
  <c r="BD43" i="7" s="1"/>
  <c r="AX43" i="7"/>
  <c r="AV43" i="7"/>
  <c r="AR43" i="7"/>
  <c r="AS43" i="7" s="1"/>
  <c r="AO43" i="7"/>
  <c r="AX42" i="7"/>
  <c r="AV42" i="7"/>
  <c r="AX41" i="7"/>
  <c r="AV41" i="7"/>
  <c r="AR41" i="7"/>
  <c r="AS41" i="7" s="1"/>
  <c r="AO41" i="7"/>
  <c r="AX40" i="7"/>
  <c r="AV40" i="7"/>
  <c r="AR40" i="7"/>
  <c r="AS40" i="7" s="1"/>
  <c r="AO40" i="7"/>
  <c r="AB40" i="7"/>
  <c r="BA40" i="7"/>
  <c r="BD40" i="7" s="1"/>
  <c r="BA39" i="7"/>
  <c r="BD39" i="7" s="1"/>
  <c r="AX39" i="7"/>
  <c r="AV39" i="7"/>
  <c r="AR39" i="7"/>
  <c r="AS39" i="7" s="1"/>
  <c r="AO39" i="7"/>
  <c r="AX38" i="7"/>
  <c r="AV38" i="7"/>
  <c r="AR38" i="7"/>
  <c r="AS38" i="7" s="1"/>
  <c r="BA38" i="7"/>
  <c r="BD38" i="7" s="1"/>
  <c r="BA37" i="7"/>
  <c r="BD37" i="7" s="1"/>
  <c r="AX37" i="7"/>
  <c r="AV37" i="7"/>
  <c r="AR37" i="7"/>
  <c r="AS37" i="7" s="1"/>
  <c r="AO37" i="7"/>
  <c r="BA36" i="7"/>
  <c r="BD36" i="7" s="1"/>
  <c r="AX36" i="7"/>
  <c r="AV36" i="7"/>
  <c r="AR36" i="7"/>
  <c r="AS36" i="7" s="1"/>
  <c r="AO36" i="7"/>
  <c r="BA35" i="7"/>
  <c r="BD35" i="7" s="1"/>
  <c r="AX35" i="7"/>
  <c r="AV35" i="7"/>
  <c r="AR35" i="7"/>
  <c r="AS35" i="7" s="1"/>
  <c r="AX34" i="7"/>
  <c r="AV34" i="7"/>
  <c r="AR34" i="7"/>
  <c r="AS34" i="7" s="1"/>
  <c r="AX33" i="7"/>
  <c r="AV33" i="7"/>
  <c r="AR33" i="7"/>
  <c r="AS33" i="7" s="1"/>
  <c r="BA32" i="7"/>
  <c r="BD32" i="7" s="1"/>
  <c r="AX32" i="7"/>
  <c r="AV32" i="7"/>
  <c r="AR32" i="7"/>
  <c r="AS32" i="7" s="1"/>
  <c r="AB32" i="7"/>
  <c r="AX31" i="7"/>
  <c r="AV31" i="7"/>
  <c r="AR31" i="7"/>
  <c r="AS31" i="7" s="1"/>
  <c r="BA30" i="7"/>
  <c r="BD30" i="7" s="1"/>
  <c r="AX30" i="7"/>
  <c r="AV30" i="7"/>
  <c r="AR30" i="7"/>
  <c r="AS30" i="7" s="1"/>
  <c r="BA29" i="7"/>
  <c r="BD29" i="7" s="1"/>
  <c r="AX29" i="7"/>
  <c r="AV29" i="7"/>
  <c r="AR29" i="7"/>
  <c r="AS29" i="7" s="1"/>
  <c r="AX28" i="7"/>
  <c r="AV28" i="7"/>
  <c r="AR28" i="7"/>
  <c r="AS28" i="7" s="1"/>
  <c r="BA28" i="7"/>
  <c r="BD28" i="7" s="1"/>
  <c r="BA27" i="7"/>
  <c r="BD27" i="7" s="1"/>
  <c r="AX27" i="7"/>
  <c r="AV27" i="7"/>
  <c r="AR27" i="7"/>
  <c r="AS27" i="7" s="1"/>
  <c r="AX26" i="7"/>
  <c r="AV26" i="7"/>
  <c r="AR26" i="7"/>
  <c r="AS26" i="7" s="1"/>
  <c r="AX25" i="7"/>
  <c r="AV25" i="7"/>
  <c r="AR25" i="7"/>
  <c r="AS25" i="7" s="1"/>
  <c r="BA24" i="7"/>
  <c r="BD24" i="7" s="1"/>
  <c r="AX24" i="7"/>
  <c r="AV24" i="7"/>
  <c r="AR24" i="7"/>
  <c r="AS24" i="7" s="1"/>
  <c r="AX23" i="7"/>
  <c r="AV23" i="7"/>
  <c r="AR23" i="7"/>
  <c r="AS23" i="7" s="1"/>
  <c r="AO23" i="7"/>
  <c r="AX22" i="7"/>
  <c r="AV22" i="7"/>
  <c r="BA22" i="7"/>
  <c r="BD22" i="7" s="1"/>
  <c r="B21" i="7"/>
  <c r="C19" i="7"/>
  <c r="B19" i="7"/>
  <c r="B18" i="7"/>
  <c r="AL12" i="7"/>
  <c r="AL11" i="7"/>
  <c r="AL10" i="7"/>
  <c r="AJ80" i="6"/>
  <c r="AJ64" i="6"/>
  <c r="N26" i="6"/>
  <c r="M26" i="6"/>
  <c r="L26" i="6"/>
  <c r="AF23" i="6"/>
  <c r="T23" i="6"/>
  <c r="R23" i="6"/>
  <c r="Q23" i="6"/>
  <c r="P23" i="6"/>
  <c r="O23" i="6"/>
  <c r="N23" i="6"/>
  <c r="M23" i="6"/>
  <c r="L23" i="6"/>
  <c r="J23" i="6"/>
  <c r="I23" i="6"/>
  <c r="H23" i="6"/>
  <c r="G23" i="6"/>
  <c r="F23" i="6"/>
  <c r="E23" i="6"/>
  <c r="D23" i="6"/>
  <c r="C23" i="6"/>
  <c r="T22" i="6"/>
  <c r="R22" i="6"/>
  <c r="Q22" i="6"/>
  <c r="AR22" i="6" s="1"/>
  <c r="P22" i="6"/>
  <c r="AN22" i="6" s="1"/>
  <c r="O22" i="6"/>
  <c r="N22" i="6"/>
  <c r="M22" i="6"/>
  <c r="L22" i="6"/>
  <c r="J22" i="6"/>
  <c r="I22" i="6"/>
  <c r="H22" i="6"/>
  <c r="G22" i="6"/>
  <c r="F22" i="6"/>
  <c r="E22" i="6"/>
  <c r="D22" i="6"/>
  <c r="C22" i="6"/>
  <c r="R21" i="6"/>
  <c r="Q21" i="6"/>
  <c r="P21" i="6"/>
  <c r="N21" i="6"/>
  <c r="L21" i="6"/>
  <c r="J21" i="6"/>
  <c r="I21" i="6"/>
  <c r="H21" i="6"/>
  <c r="G21" i="6"/>
  <c r="F21" i="6"/>
  <c r="E21" i="6"/>
  <c r="D21" i="6"/>
  <c r="C21" i="6"/>
  <c r="D57" i="2"/>
  <c r="D37" i="2"/>
  <c r="I19" i="2"/>
  <c r="AX94" i="4"/>
  <c r="AU94" i="4"/>
  <c r="AS94" i="4"/>
  <c r="AR94" i="4"/>
  <c r="AK94" i="4"/>
  <c r="AL94" i="4" s="1"/>
  <c r="AI94" i="4"/>
  <c r="AJ94" i="4" s="1"/>
  <c r="AG94" i="4"/>
  <c r="AF94" i="4"/>
  <c r="AD94" i="4"/>
  <c r="AB94" i="4"/>
  <c r="X94" i="4"/>
  <c r="Y94" i="4" s="1"/>
  <c r="V94" i="4"/>
  <c r="W94" i="4" s="1"/>
  <c r="S94" i="4"/>
  <c r="T94" i="4" s="1"/>
  <c r="P94" i="4"/>
  <c r="Q94" i="4" s="1"/>
  <c r="M94" i="4"/>
  <c r="K94" i="4"/>
  <c r="I94" i="4"/>
  <c r="G94" i="4"/>
  <c r="D94" i="4"/>
  <c r="A94" i="4"/>
  <c r="AX91" i="4"/>
  <c r="AU91" i="4"/>
  <c r="AS91" i="4"/>
  <c r="AR91" i="4"/>
  <c r="AK91" i="4"/>
  <c r="AL91" i="4" s="1"/>
  <c r="AI91" i="4"/>
  <c r="AJ91" i="4" s="1"/>
  <c r="AG91" i="4"/>
  <c r="AF91" i="4"/>
  <c r="AD91" i="4"/>
  <c r="AB91" i="4"/>
  <c r="X91" i="4"/>
  <c r="Y91" i="4" s="1"/>
  <c r="V91" i="4"/>
  <c r="W91" i="4" s="1"/>
  <c r="S91" i="4"/>
  <c r="T91" i="4" s="1"/>
  <c r="Q91" i="4"/>
  <c r="P91" i="4"/>
  <c r="M91" i="4"/>
  <c r="K91" i="4"/>
  <c r="I91" i="4"/>
  <c r="G91" i="4"/>
  <c r="D91" i="4"/>
  <c r="A91" i="4"/>
  <c r="AX90" i="4"/>
  <c r="AU90" i="4"/>
  <c r="AS90" i="4"/>
  <c r="AR90" i="4"/>
  <c r="AK90" i="4"/>
  <c r="AL90" i="4" s="1"/>
  <c r="AM90" i="4" s="1"/>
  <c r="AI90" i="4"/>
  <c r="AJ90" i="4" s="1"/>
  <c r="AG90" i="4"/>
  <c r="AF90" i="4"/>
  <c r="AD90" i="4"/>
  <c r="AB90" i="4"/>
  <c r="X90" i="4"/>
  <c r="Y90" i="4" s="1"/>
  <c r="W90" i="4"/>
  <c r="V90" i="4"/>
  <c r="S90" i="4"/>
  <c r="T90" i="4" s="1"/>
  <c r="Q90" i="4"/>
  <c r="P90" i="4"/>
  <c r="M90" i="4"/>
  <c r="K90" i="4"/>
  <c r="I90" i="4"/>
  <c r="G90" i="4"/>
  <c r="D90" i="4"/>
  <c r="A90" i="4"/>
  <c r="AX87" i="4"/>
  <c r="AU87" i="4"/>
  <c r="AS87" i="4"/>
  <c r="AR87" i="4"/>
  <c r="AK87" i="4"/>
  <c r="AI87" i="4"/>
  <c r="AJ87" i="4" s="1"/>
  <c r="AG87" i="4"/>
  <c r="AF87" i="4"/>
  <c r="AD87" i="4"/>
  <c r="AB87" i="4"/>
  <c r="X87" i="4"/>
  <c r="Y87" i="4" s="1"/>
  <c r="V87" i="4"/>
  <c r="W87" i="4" s="1"/>
  <c r="S87" i="4"/>
  <c r="T87" i="4" s="1"/>
  <c r="P87" i="4"/>
  <c r="Q87" i="4" s="1"/>
  <c r="M87" i="4"/>
  <c r="K87" i="4"/>
  <c r="I87" i="4"/>
  <c r="G87" i="4"/>
  <c r="D87" i="4"/>
  <c r="DU67" i="2"/>
  <c r="DR67" i="2"/>
  <c r="DQ67" i="2"/>
  <c r="DP67" i="2"/>
  <c r="DN67" i="2"/>
  <c r="DL67" i="2"/>
  <c r="DK67" i="2"/>
  <c r="DJ67" i="2"/>
  <c r="DI67" i="2"/>
  <c r="DH67" i="2"/>
  <c r="DG67" i="2"/>
  <c r="DE67" i="2"/>
  <c r="DD67" i="2"/>
  <c r="CR67" i="2"/>
  <c r="CQ67" i="2" s="1"/>
  <c r="CN67" i="2"/>
  <c r="CK67" i="2"/>
  <c r="CH67" i="2"/>
  <c r="CG67" i="2"/>
  <c r="BM67" i="2"/>
  <c r="BL67" i="2"/>
  <c r="BG67" i="2"/>
  <c r="BK67" i="2" s="1"/>
  <c r="BF67" i="2"/>
  <c r="BI67" i="2" s="1"/>
  <c r="BC67" i="2"/>
  <c r="BB67" i="2"/>
  <c r="AR67" i="2"/>
  <c r="AM67" i="2"/>
  <c r="AK67" i="2"/>
  <c r="BJ67" i="2" s="1"/>
  <c r="AJ67" i="2"/>
  <c r="AH67" i="2"/>
  <c r="AG67" i="2"/>
  <c r="AD67" i="2"/>
  <c r="AC67" i="2"/>
  <c r="DF67" i="2" s="1"/>
  <c r="T67" i="2"/>
  <c r="U67" i="2" s="1"/>
  <c r="V67" i="2" s="1"/>
  <c r="M67" i="2"/>
  <c r="S67" i="2" s="1"/>
  <c r="A67" i="2"/>
  <c r="BW67" i="2" s="1"/>
  <c r="AJ68" i="2"/>
  <c r="BM46" i="2"/>
  <c r="DP46" i="2"/>
  <c r="DQ46" i="2"/>
  <c r="DR46" i="2"/>
  <c r="AH46" i="2"/>
  <c r="AG46" i="2"/>
  <c r="BL46" i="2"/>
  <c r="DD46" i="2"/>
  <c r="DE46" i="2"/>
  <c r="DU46" i="2"/>
  <c r="T45" i="2"/>
  <c r="U45" i="2" s="1"/>
  <c r="V45" i="2" s="1"/>
  <c r="T46" i="2"/>
  <c r="U46" i="2" s="1"/>
  <c r="V46" i="2" s="1"/>
  <c r="BC43" i="2"/>
  <c r="BM43" i="2"/>
  <c r="DP43" i="2"/>
  <c r="DQ43" i="2"/>
  <c r="DR43" i="2"/>
  <c r="AH43" i="2"/>
  <c r="AG43" i="2"/>
  <c r="BL43" i="2"/>
  <c r="DD43" i="2"/>
  <c r="DE43" i="2"/>
  <c r="DU43" i="2"/>
  <c r="BM40" i="2"/>
  <c r="DP40" i="2"/>
  <c r="DQ40" i="2"/>
  <c r="DR40" i="2"/>
  <c r="AH40" i="2"/>
  <c r="AG40" i="2"/>
  <c r="BL40" i="2"/>
  <c r="DD40" i="2"/>
  <c r="DE40" i="2"/>
  <c r="DU40" i="2"/>
  <c r="BM36" i="2"/>
  <c r="DP36" i="2"/>
  <c r="DQ36" i="2"/>
  <c r="DR36" i="2"/>
  <c r="AH36" i="2"/>
  <c r="AG36" i="2"/>
  <c r="BL36" i="2"/>
  <c r="DD36" i="2"/>
  <c r="DE36" i="2"/>
  <c r="DU36" i="2"/>
  <c r="T36" i="2"/>
  <c r="U36" i="2" s="1"/>
  <c r="V36" i="2" s="1"/>
  <c r="AJ35" i="2"/>
  <c r="AJ24" i="2"/>
  <c r="AJ25" i="2"/>
  <c r="AJ26" i="2"/>
  <c r="AJ27" i="2"/>
  <c r="AJ28" i="2"/>
  <c r="AJ29" i="2"/>
  <c r="AJ30" i="2"/>
  <c r="AJ31" i="2"/>
  <c r="AJ32" i="2"/>
  <c r="AJ33" i="2"/>
  <c r="AJ34" i="2"/>
  <c r="AJ36" i="2"/>
  <c r="AJ37" i="2"/>
  <c r="AJ38" i="2"/>
  <c r="AJ39" i="2"/>
  <c r="AJ40" i="2"/>
  <c r="AJ41" i="2"/>
  <c r="AJ42" i="2"/>
  <c r="AJ43" i="2"/>
  <c r="AJ44" i="2"/>
  <c r="AJ45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9" i="2"/>
  <c r="AJ70" i="2"/>
  <c r="AJ71" i="2"/>
  <c r="AJ23" i="2"/>
  <c r="R9" i="5"/>
  <c r="J56" i="5"/>
  <c r="P56" i="5" s="1"/>
  <c r="P55" i="5"/>
  <c r="J55" i="5"/>
  <c r="P54" i="5"/>
  <c r="J54" i="5"/>
  <c r="J53" i="5"/>
  <c r="P53" i="5" s="1"/>
  <c r="P52" i="5"/>
  <c r="J52" i="5"/>
  <c r="P51" i="5"/>
  <c r="J51" i="5"/>
  <c r="P50" i="5"/>
  <c r="J50" i="5"/>
  <c r="P49" i="5"/>
  <c r="J49" i="5"/>
  <c r="P48" i="5"/>
  <c r="J48" i="5"/>
  <c r="P47" i="5"/>
  <c r="J47" i="5"/>
  <c r="P46" i="5"/>
  <c r="J46" i="5"/>
  <c r="P45" i="5"/>
  <c r="J45" i="5"/>
  <c r="P44" i="5"/>
  <c r="J44" i="5"/>
  <c r="P43" i="5"/>
  <c r="J43" i="5"/>
  <c r="B43" i="5"/>
  <c r="J42" i="5"/>
  <c r="P42" i="5" s="1"/>
  <c r="J41" i="5"/>
  <c r="P41" i="5" s="1"/>
  <c r="B41" i="5"/>
  <c r="P40" i="5"/>
  <c r="J40" i="5"/>
  <c r="B40" i="5"/>
  <c r="J39" i="5"/>
  <c r="P39" i="5" s="1"/>
  <c r="J38" i="5"/>
  <c r="P38" i="5" s="1"/>
  <c r="P37" i="5"/>
  <c r="J37" i="5"/>
  <c r="J36" i="5"/>
  <c r="P36" i="5" s="1"/>
  <c r="J35" i="5"/>
  <c r="P35" i="5" s="1"/>
  <c r="J34" i="5"/>
  <c r="P34" i="5" s="1"/>
  <c r="P33" i="5"/>
  <c r="J33" i="5"/>
  <c r="B33" i="5"/>
  <c r="P32" i="5"/>
  <c r="J32" i="5"/>
  <c r="P31" i="5"/>
  <c r="J31" i="5"/>
  <c r="P30" i="5"/>
  <c r="J30" i="5"/>
  <c r="B30" i="5"/>
  <c r="J29" i="5"/>
  <c r="P29" i="5" s="1"/>
  <c r="J28" i="5"/>
  <c r="P28" i="5" s="1"/>
  <c r="B28" i="5"/>
  <c r="P27" i="5"/>
  <c r="J27" i="5"/>
  <c r="B27" i="5"/>
  <c r="J26" i="5"/>
  <c r="P26" i="5" s="1"/>
  <c r="J25" i="5"/>
  <c r="P25" i="5" s="1"/>
  <c r="J24" i="5"/>
  <c r="P24" i="5" s="1"/>
  <c r="B24" i="5"/>
  <c r="J23" i="5"/>
  <c r="P23" i="5" s="1"/>
  <c r="B23" i="5"/>
  <c r="J22" i="5"/>
  <c r="P22" i="5" s="1"/>
  <c r="J21" i="5"/>
  <c r="P21" i="5" s="1"/>
  <c r="B21" i="5"/>
  <c r="J20" i="5"/>
  <c r="P20" i="5" s="1"/>
  <c r="P19" i="5"/>
  <c r="J19" i="5"/>
  <c r="P18" i="5"/>
  <c r="J18" i="5"/>
  <c r="P17" i="5"/>
  <c r="J17" i="5"/>
  <c r="J16" i="5"/>
  <c r="P16" i="5" s="1"/>
  <c r="P15" i="5"/>
  <c r="J15" i="5"/>
  <c r="D15" i="5"/>
  <c r="J14" i="5"/>
  <c r="P14" i="5" s="1"/>
  <c r="D14" i="5"/>
  <c r="J13" i="5"/>
  <c r="P13" i="5" s="1"/>
  <c r="P12" i="5"/>
  <c r="J12" i="5"/>
  <c r="P11" i="5"/>
  <c r="J11" i="5"/>
  <c r="P10" i="5"/>
  <c r="J10" i="5"/>
  <c r="J9" i="5"/>
  <c r="P9" i="5" s="1"/>
  <c r="F5" i="5"/>
  <c r="E5" i="5"/>
  <c r="D5" i="5"/>
  <c r="C5" i="5"/>
  <c r="B5" i="5"/>
  <c r="A5" i="5"/>
  <c r="H4" i="5"/>
  <c r="K56" i="4"/>
  <c r="M56" i="4"/>
  <c r="D56" i="4"/>
  <c r="AX56" i="4"/>
  <c r="D51" i="4"/>
  <c r="AR51" i="4"/>
  <c r="AS51" i="4"/>
  <c r="AU51" i="4"/>
  <c r="P51" i="4"/>
  <c r="Q51" i="4" s="1"/>
  <c r="AX51" i="4"/>
  <c r="D46" i="4"/>
  <c r="AR46" i="4"/>
  <c r="AS46" i="4"/>
  <c r="AU46" i="4"/>
  <c r="P46" i="4"/>
  <c r="Q46" i="4" s="1"/>
  <c r="AX46" i="4"/>
  <c r="D39" i="4"/>
  <c r="D38" i="4"/>
  <c r="X38" i="4"/>
  <c r="Y38" i="4" s="1"/>
  <c r="AR38" i="4"/>
  <c r="AS38" i="4"/>
  <c r="P38" i="4"/>
  <c r="Q38" i="4" s="1"/>
  <c r="AX38" i="4"/>
  <c r="T43" i="2"/>
  <c r="U43" i="2" s="1"/>
  <c r="V43" i="2" s="1"/>
  <c r="T40" i="2"/>
  <c r="U40" i="2" s="1"/>
  <c r="V40" i="2" s="1"/>
  <c r="M46" i="2"/>
  <c r="Y46" i="2" s="1"/>
  <c r="AD46" i="2"/>
  <c r="CR46" i="2"/>
  <c r="AC46" i="2"/>
  <c r="AK46" i="2"/>
  <c r="BJ46" i="2" s="1"/>
  <c r="M43" i="2"/>
  <c r="AX43" i="2" s="1"/>
  <c r="AD43" i="2"/>
  <c r="CR43" i="2"/>
  <c r="CQ43" i="2" s="1"/>
  <c r="AC43" i="2"/>
  <c r="AK43" i="2"/>
  <c r="BJ43" i="2" s="1"/>
  <c r="M40" i="2"/>
  <c r="AT40" i="2" s="1"/>
  <c r="AD40" i="2"/>
  <c r="CR40" i="2"/>
  <c r="M36" i="2"/>
  <c r="AT36" i="2" s="1"/>
  <c r="AD36" i="2"/>
  <c r="CR36" i="2"/>
  <c r="AC40" i="2"/>
  <c r="AK40" i="2"/>
  <c r="BJ40" i="2" s="1"/>
  <c r="AC36" i="2"/>
  <c r="AK36" i="2"/>
  <c r="BJ36" i="2" s="1"/>
  <c r="T44" i="2"/>
  <c r="U44" i="2" s="1"/>
  <c r="V44" i="2" s="1"/>
  <c r="T47" i="2"/>
  <c r="U47" i="2" s="1"/>
  <c r="V47" i="2" s="1"/>
  <c r="T48" i="2"/>
  <c r="U48" i="2" s="1"/>
  <c r="V48" i="2" s="1"/>
  <c r="T49" i="2"/>
  <c r="U49" i="2" s="1"/>
  <c r="V49" i="2" s="1"/>
  <c r="T50" i="2"/>
  <c r="U50" i="2" s="1"/>
  <c r="V50" i="2" s="1"/>
  <c r="T51" i="2"/>
  <c r="U51" i="2" s="1"/>
  <c r="V51" i="2" s="1"/>
  <c r="T52" i="2"/>
  <c r="U52" i="2" s="1"/>
  <c r="V52" i="2" s="1"/>
  <c r="T53" i="2"/>
  <c r="U53" i="2" s="1"/>
  <c r="V53" i="2" s="1"/>
  <c r="T54" i="2"/>
  <c r="U54" i="2" s="1"/>
  <c r="V54" i="2" s="1"/>
  <c r="T55" i="2"/>
  <c r="U55" i="2" s="1"/>
  <c r="V55" i="2" s="1"/>
  <c r="T56" i="2"/>
  <c r="U56" i="2" s="1"/>
  <c r="V56" i="2" s="1"/>
  <c r="T57" i="2"/>
  <c r="U57" i="2" s="1"/>
  <c r="V57" i="2" s="1"/>
  <c r="T58" i="2"/>
  <c r="U58" i="2" s="1"/>
  <c r="V58" i="2" s="1"/>
  <c r="T59" i="2"/>
  <c r="U59" i="2" s="1"/>
  <c r="V59" i="2" s="1"/>
  <c r="T60" i="2"/>
  <c r="U60" i="2" s="1"/>
  <c r="V60" i="2" s="1"/>
  <c r="T61" i="2"/>
  <c r="U61" i="2" s="1"/>
  <c r="V61" i="2" s="1"/>
  <c r="T62" i="2"/>
  <c r="U62" i="2" s="1"/>
  <c r="V62" i="2" s="1"/>
  <c r="T63" i="2"/>
  <c r="U63" i="2" s="1"/>
  <c r="V63" i="2" s="1"/>
  <c r="T64" i="2"/>
  <c r="U64" i="2" s="1"/>
  <c r="V64" i="2" s="1"/>
  <c r="T65" i="2"/>
  <c r="U65" i="2" s="1"/>
  <c r="V65" i="2" s="1"/>
  <c r="T66" i="2"/>
  <c r="U66" i="2" s="1"/>
  <c r="V66" i="2" s="1"/>
  <c r="T68" i="2"/>
  <c r="U68" i="2" s="1"/>
  <c r="V68" i="2" s="1"/>
  <c r="T69" i="2"/>
  <c r="U69" i="2" s="1"/>
  <c r="V69" i="2" s="1"/>
  <c r="T70" i="2"/>
  <c r="U70" i="2" s="1"/>
  <c r="V70" i="2" s="1"/>
  <c r="T71" i="2"/>
  <c r="U71" i="2" s="1"/>
  <c r="V71" i="2" s="1"/>
  <c r="T24" i="2"/>
  <c r="U24" i="2" s="1"/>
  <c r="V24" i="2" s="1"/>
  <c r="T25" i="2"/>
  <c r="U25" i="2" s="1"/>
  <c r="V25" i="2" s="1"/>
  <c r="T26" i="2"/>
  <c r="U26" i="2" s="1"/>
  <c r="V26" i="2" s="1"/>
  <c r="T27" i="2"/>
  <c r="U27" i="2" s="1"/>
  <c r="V27" i="2" s="1"/>
  <c r="T28" i="2"/>
  <c r="U28" i="2" s="1"/>
  <c r="V28" i="2" s="1"/>
  <c r="T29" i="2"/>
  <c r="U29" i="2" s="1"/>
  <c r="V29" i="2" s="1"/>
  <c r="T30" i="2"/>
  <c r="U30" i="2" s="1"/>
  <c r="V30" i="2" s="1"/>
  <c r="T31" i="2"/>
  <c r="U31" i="2" s="1"/>
  <c r="V31" i="2" s="1"/>
  <c r="T32" i="2"/>
  <c r="U32" i="2" s="1"/>
  <c r="V32" i="2" s="1"/>
  <c r="T33" i="2"/>
  <c r="U33" i="2" s="1"/>
  <c r="V33" i="2" s="1"/>
  <c r="T34" i="2"/>
  <c r="U34" i="2" s="1"/>
  <c r="V34" i="2" s="1"/>
  <c r="T35" i="2"/>
  <c r="U35" i="2" s="1"/>
  <c r="V35" i="2" s="1"/>
  <c r="T37" i="2"/>
  <c r="U37" i="2" s="1"/>
  <c r="V37" i="2" s="1"/>
  <c r="T38" i="2"/>
  <c r="U38" i="2" s="1"/>
  <c r="V38" i="2" s="1"/>
  <c r="T39" i="2"/>
  <c r="U39" i="2" s="1"/>
  <c r="V39" i="2" s="1"/>
  <c r="T41" i="2"/>
  <c r="U41" i="2" s="1"/>
  <c r="V41" i="2" s="1"/>
  <c r="T42" i="2"/>
  <c r="U42" i="2" s="1"/>
  <c r="V42" i="2" s="1"/>
  <c r="T23" i="2"/>
  <c r="U23" i="2" s="1"/>
  <c r="V23" i="2" s="1"/>
  <c r="K40" i="4"/>
  <c r="K41" i="4"/>
  <c r="K42" i="4"/>
  <c r="K43" i="4"/>
  <c r="K44" i="4"/>
  <c r="K45" i="4"/>
  <c r="K47" i="4"/>
  <c r="K48" i="4"/>
  <c r="K49" i="4"/>
  <c r="K50" i="4"/>
  <c r="K52" i="4"/>
  <c r="K53" i="4"/>
  <c r="K54" i="4"/>
  <c r="K55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8" i="4"/>
  <c r="K89" i="4"/>
  <c r="K92" i="4"/>
  <c r="K93" i="4"/>
  <c r="K95" i="4"/>
  <c r="K96" i="4"/>
  <c r="K97" i="4"/>
  <c r="K98" i="4"/>
  <c r="K99" i="4"/>
  <c r="K100" i="4"/>
  <c r="M43" i="4"/>
  <c r="M44" i="4"/>
  <c r="M45" i="4"/>
  <c r="M47" i="4"/>
  <c r="M48" i="4"/>
  <c r="M49" i="4"/>
  <c r="M50" i="4"/>
  <c r="M52" i="4"/>
  <c r="M53" i="4"/>
  <c r="M54" i="4"/>
  <c r="M55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8" i="4"/>
  <c r="M89" i="4"/>
  <c r="M92" i="4"/>
  <c r="M93" i="4"/>
  <c r="M95" i="4"/>
  <c r="M96" i="4"/>
  <c r="M97" i="4"/>
  <c r="M98" i="4"/>
  <c r="M99" i="4"/>
  <c r="M100" i="4"/>
  <c r="W8" i="2"/>
  <c r="W7" i="2"/>
  <c r="W6" i="2"/>
  <c r="R6" i="2"/>
  <c r="BI57" i="7" l="1"/>
  <c r="BF93" i="7"/>
  <c r="BF85" i="7"/>
  <c r="BF77" i="7"/>
  <c r="BF61" i="7"/>
  <c r="BF53" i="7"/>
  <c r="BF45" i="7"/>
  <c r="BF37" i="7"/>
  <c r="BF29" i="7"/>
  <c r="BI29" i="7" s="1"/>
  <c r="AL22" i="7"/>
  <c r="BF92" i="7"/>
  <c r="BF84" i="7"/>
  <c r="BF76" i="7"/>
  <c r="BF68" i="7"/>
  <c r="BF60" i="7"/>
  <c r="BI60" i="7" s="1"/>
  <c r="BF52" i="7"/>
  <c r="BI52" i="7" s="1"/>
  <c r="BF44" i="7"/>
  <c r="BF36" i="7"/>
  <c r="BF91" i="7"/>
  <c r="BF83" i="7"/>
  <c r="BF75" i="7"/>
  <c r="BF59" i="7"/>
  <c r="BF51" i="7"/>
  <c r="BF43" i="7"/>
  <c r="BF98" i="7"/>
  <c r="BF90" i="7"/>
  <c r="BF82" i="7"/>
  <c r="BF74" i="7"/>
  <c r="BF66" i="7"/>
  <c r="BF58" i="7"/>
  <c r="BF50" i="7"/>
  <c r="BF42" i="7"/>
  <c r="BI42" i="7" s="1"/>
  <c r="BF34" i="7"/>
  <c r="BI34" i="7" s="1"/>
  <c r="BH81" i="7"/>
  <c r="BI81" i="7" s="1"/>
  <c r="BF89" i="7"/>
  <c r="BF65" i="7"/>
  <c r="BF57" i="7"/>
  <c r="BF49" i="7"/>
  <c r="BF41" i="7"/>
  <c r="BF96" i="7"/>
  <c r="BF88" i="7"/>
  <c r="BF80" i="7"/>
  <c r="BF72" i="7"/>
  <c r="BF64" i="7"/>
  <c r="BF56" i="7"/>
  <c r="BF48" i="7"/>
  <c r="BF40" i="7"/>
  <c r="BF32" i="7"/>
  <c r="BI32" i="7" s="1"/>
  <c r="BF24" i="7"/>
  <c r="BI24" i="7" s="1"/>
  <c r="BH27" i="7"/>
  <c r="AK56" i="7"/>
  <c r="BH97" i="7"/>
  <c r="BI97" i="7" s="1"/>
  <c r="BH73" i="7"/>
  <c r="BI73" i="7" s="1"/>
  <c r="BH67" i="7"/>
  <c r="BI67" i="7" s="1"/>
  <c r="AK92" i="7"/>
  <c r="AU92" i="7" s="1"/>
  <c r="AW92" i="7" s="1"/>
  <c r="AK84" i="7"/>
  <c r="AU84" i="7" s="1"/>
  <c r="AW84" i="7" s="1"/>
  <c r="AK52" i="7"/>
  <c r="AU52" i="7" s="1"/>
  <c r="BK52" i="7" s="1"/>
  <c r="AK94" i="7"/>
  <c r="AU94" i="7" s="1"/>
  <c r="AW94" i="7" s="1"/>
  <c r="AK86" i="7"/>
  <c r="AU86" i="7" s="1"/>
  <c r="AW86" i="7" s="1"/>
  <c r="AK70" i="7"/>
  <c r="AU70" i="7" s="1"/>
  <c r="AW70" i="7" s="1"/>
  <c r="AK62" i="7"/>
  <c r="AU62" i="7" s="1"/>
  <c r="AW62" i="7" s="1"/>
  <c r="AK46" i="7"/>
  <c r="AR52" i="7"/>
  <c r="AS52" i="7" s="1"/>
  <c r="AK57" i="7"/>
  <c r="AU57" i="7" s="1"/>
  <c r="BK57" i="7" s="1"/>
  <c r="AK78" i="7"/>
  <c r="AK91" i="7"/>
  <c r="AU91" i="7" s="1"/>
  <c r="AW91" i="7" s="1"/>
  <c r="AK59" i="7"/>
  <c r="AU59" i="7" s="1"/>
  <c r="AW59" i="7" s="1"/>
  <c r="AK72" i="7"/>
  <c r="BE69" i="7"/>
  <c r="BF69" i="7" s="1"/>
  <c r="AW69" i="6"/>
  <c r="AX69" i="6" s="1"/>
  <c r="AW45" i="6"/>
  <c r="AX45" i="6" s="1"/>
  <c r="AW37" i="6"/>
  <c r="AX37" i="6" s="1"/>
  <c r="AW29" i="6"/>
  <c r="AX29" i="6" s="1"/>
  <c r="AW53" i="6"/>
  <c r="AW61" i="6"/>
  <c r="AX61" i="6" s="1"/>
  <c r="AW70" i="6"/>
  <c r="AX70" i="6" s="1"/>
  <c r="AW62" i="6"/>
  <c r="AW54" i="6"/>
  <c r="AX54" i="6" s="1"/>
  <c r="AW46" i="6"/>
  <c r="AW38" i="6"/>
  <c r="AX38" i="6" s="1"/>
  <c r="AW30" i="6"/>
  <c r="AX30" i="6" s="1"/>
  <c r="AP64" i="6"/>
  <c r="AS64" i="6" s="1"/>
  <c r="AP56" i="6"/>
  <c r="AS56" i="6" s="1"/>
  <c r="AP48" i="6"/>
  <c r="AS48" i="6" s="1"/>
  <c r="AP32" i="6"/>
  <c r="AS32" i="6" s="1"/>
  <c r="AO75" i="6"/>
  <c r="AP75" i="6" s="1"/>
  <c r="AS75" i="6" s="1"/>
  <c r="Z62" i="6"/>
  <c r="Z54" i="6"/>
  <c r="AP43" i="6"/>
  <c r="AS43" i="6" s="1"/>
  <c r="AP35" i="6"/>
  <c r="AS35" i="6" s="1"/>
  <c r="AW27" i="6"/>
  <c r="AX27" i="6" s="1"/>
  <c r="AW74" i="6"/>
  <c r="AX74" i="6" s="1"/>
  <c r="AW66" i="6"/>
  <c r="AX66" i="6" s="1"/>
  <c r="AW58" i="6"/>
  <c r="AX58" i="6" s="1"/>
  <c r="AW50" i="6"/>
  <c r="AW42" i="6"/>
  <c r="AX42" i="6" s="1"/>
  <c r="AW34" i="6"/>
  <c r="AX34" i="6" s="1"/>
  <c r="AW73" i="6"/>
  <c r="AX73" i="6" s="1"/>
  <c r="AW65" i="6"/>
  <c r="AX65" i="6" s="1"/>
  <c r="AW57" i="6"/>
  <c r="AX57" i="6" s="1"/>
  <c r="AW49" i="6"/>
  <c r="AW41" i="6"/>
  <c r="AX41" i="6" s="1"/>
  <c r="AW33" i="6"/>
  <c r="AX33" i="6" s="1"/>
  <c r="AO67" i="6"/>
  <c r="AP67" i="6" s="1"/>
  <c r="AS67" i="6" s="1"/>
  <c r="AW68" i="6"/>
  <c r="AX68" i="6" s="1"/>
  <c r="AW60" i="6"/>
  <c r="AX60" i="6" s="1"/>
  <c r="AW52" i="6"/>
  <c r="AX52" i="6" s="1"/>
  <c r="AW44" i="6"/>
  <c r="AW36" i="6"/>
  <c r="AX36" i="6" s="1"/>
  <c r="AW28" i="6"/>
  <c r="AO59" i="6"/>
  <c r="AP59" i="6" s="1"/>
  <c r="AS59" i="6" s="1"/>
  <c r="AW71" i="6"/>
  <c r="AW63" i="6"/>
  <c r="AP57" i="6"/>
  <c r="AS57" i="6" s="1"/>
  <c r="AW55" i="6"/>
  <c r="AX55" i="6" s="1"/>
  <c r="AW47" i="6"/>
  <c r="AW39" i="6"/>
  <c r="AX39" i="6" s="1"/>
  <c r="AP33" i="6"/>
  <c r="AS33" i="6" s="1"/>
  <c r="AW31" i="6"/>
  <c r="AX31" i="6" s="1"/>
  <c r="AO51" i="6"/>
  <c r="AP51" i="6" s="1"/>
  <c r="AS51" i="6" s="1"/>
  <c r="AP60" i="6"/>
  <c r="AS60" i="6" s="1"/>
  <c r="AP52" i="6"/>
  <c r="AS52" i="6" s="1"/>
  <c r="AP44" i="6"/>
  <c r="AS44" i="6" s="1"/>
  <c r="AP36" i="6"/>
  <c r="AS36" i="6" s="1"/>
  <c r="AP28" i="6"/>
  <c r="AS28" i="6" s="1"/>
  <c r="AP63" i="6"/>
  <c r="AS63" i="6" s="1"/>
  <c r="AP55" i="6"/>
  <c r="AS55" i="6" s="1"/>
  <c r="AP47" i="6"/>
  <c r="AS47" i="6" s="1"/>
  <c r="AP39" i="6"/>
  <c r="AS39" i="6" s="1"/>
  <c r="AW72" i="6"/>
  <c r="AX72" i="6" s="1"/>
  <c r="AW64" i="6"/>
  <c r="AP58" i="6"/>
  <c r="AS58" i="6" s="1"/>
  <c r="AW56" i="6"/>
  <c r="AX56" i="6" s="1"/>
  <c r="AP50" i="6"/>
  <c r="AS50" i="6" s="1"/>
  <c r="AW48" i="6"/>
  <c r="AX48" i="6" s="1"/>
  <c r="AP42" i="6"/>
  <c r="AS42" i="6" s="1"/>
  <c r="AW40" i="6"/>
  <c r="AW32" i="6"/>
  <c r="AX32" i="6" s="1"/>
  <c r="AW75" i="6"/>
  <c r="AX75" i="6" s="1"/>
  <c r="AW67" i="6"/>
  <c r="AX67" i="6" s="1"/>
  <c r="AP61" i="6"/>
  <c r="AS61" i="6" s="1"/>
  <c r="AW59" i="6"/>
  <c r="AX59" i="6" s="1"/>
  <c r="AW51" i="6"/>
  <c r="AX51" i="6" s="1"/>
  <c r="AP45" i="6"/>
  <c r="AS45" i="6" s="1"/>
  <c r="AW43" i="6"/>
  <c r="AP37" i="6"/>
  <c r="AS37" i="6" s="1"/>
  <c r="AW35" i="6"/>
  <c r="AX35" i="6" s="1"/>
  <c r="AP29" i="6"/>
  <c r="AS29" i="6" s="1"/>
  <c r="AO74" i="6"/>
  <c r="AP74" i="6" s="1"/>
  <c r="AS74" i="6" s="1"/>
  <c r="AO66" i="6"/>
  <c r="AP66" i="6" s="1"/>
  <c r="AS66" i="6" s="1"/>
  <c r="AO34" i="6"/>
  <c r="AP34" i="6" s="1"/>
  <c r="AS34" i="6" s="1"/>
  <c r="AO73" i="6"/>
  <c r="AP73" i="6" s="1"/>
  <c r="AS73" i="6" s="1"/>
  <c r="AO65" i="6"/>
  <c r="AP65" i="6" s="1"/>
  <c r="AS65" i="6" s="1"/>
  <c r="AO49" i="6"/>
  <c r="AP49" i="6" s="1"/>
  <c r="AS49" i="6" s="1"/>
  <c r="AO41" i="6"/>
  <c r="AP41" i="6" s="1"/>
  <c r="AS41" i="6" s="1"/>
  <c r="AO72" i="6"/>
  <c r="AP72" i="6" s="1"/>
  <c r="AS72" i="6" s="1"/>
  <c r="AO40" i="6"/>
  <c r="AP40" i="6" s="1"/>
  <c r="AS40" i="6" s="1"/>
  <c r="AO71" i="6"/>
  <c r="AP71" i="6" s="1"/>
  <c r="AS71" i="6" s="1"/>
  <c r="AO70" i="6"/>
  <c r="AP70" i="6" s="1"/>
  <c r="AS70" i="6" s="1"/>
  <c r="AO62" i="6"/>
  <c r="AP62" i="6" s="1"/>
  <c r="AS62" i="6" s="1"/>
  <c r="AO54" i="6"/>
  <c r="AP54" i="6" s="1"/>
  <c r="AS54" i="6" s="1"/>
  <c r="AO46" i="6"/>
  <c r="AP46" i="6" s="1"/>
  <c r="AS46" i="6" s="1"/>
  <c r="AO38" i="6"/>
  <c r="AP38" i="6" s="1"/>
  <c r="AS38" i="6" s="1"/>
  <c r="AO30" i="6"/>
  <c r="AP30" i="6" s="1"/>
  <c r="AS30" i="6" s="1"/>
  <c r="AO69" i="6"/>
  <c r="AP69" i="6" s="1"/>
  <c r="AS69" i="6" s="1"/>
  <c r="AO53" i="6"/>
  <c r="AP53" i="6" s="1"/>
  <c r="AS53" i="6" s="1"/>
  <c r="Z46" i="6"/>
  <c r="AO27" i="6"/>
  <c r="AP27" i="6" s="1"/>
  <c r="AO68" i="6"/>
  <c r="AP68" i="6" s="1"/>
  <c r="AS68" i="6" s="1"/>
  <c r="AJ67" i="6"/>
  <c r="AJ51" i="6"/>
  <c r="AJ31" i="6"/>
  <c r="AM72" i="6"/>
  <c r="Z81" i="6"/>
  <c r="Z73" i="6"/>
  <c r="Z49" i="6"/>
  <c r="Z41" i="6"/>
  <c r="AM50" i="6"/>
  <c r="Z44" i="6"/>
  <c r="AM40" i="6"/>
  <c r="Z66" i="6"/>
  <c r="AM28" i="6"/>
  <c r="Z71" i="6"/>
  <c r="AH70" i="6"/>
  <c r="AH38" i="6"/>
  <c r="AH30" i="6"/>
  <c r="AM60" i="6"/>
  <c r="AJ62" i="6"/>
  <c r="Z74" i="6"/>
  <c r="Z58" i="6"/>
  <c r="Z50" i="6"/>
  <c r="AH48" i="6"/>
  <c r="AH45" i="6"/>
  <c r="AH37" i="6"/>
  <c r="AH32" i="6"/>
  <c r="AH29" i="6"/>
  <c r="AH31" i="6"/>
  <c r="Z61" i="6"/>
  <c r="Z55" i="6"/>
  <c r="Z47" i="6"/>
  <c r="AM58" i="6"/>
  <c r="AM36" i="6"/>
  <c r="Z79" i="6"/>
  <c r="Z60" i="6"/>
  <c r="Z39" i="6"/>
  <c r="AM76" i="6"/>
  <c r="AM56" i="6"/>
  <c r="AM34" i="6"/>
  <c r="AH36" i="6"/>
  <c r="AM74" i="6"/>
  <c r="AM52" i="6"/>
  <c r="AM32" i="6"/>
  <c r="AH51" i="6"/>
  <c r="AH35" i="6"/>
  <c r="Z77" i="6"/>
  <c r="AM68" i="6"/>
  <c r="AM48" i="6"/>
  <c r="AH52" i="6"/>
  <c r="Z53" i="6"/>
  <c r="AH42" i="6"/>
  <c r="AH34" i="6"/>
  <c r="Z69" i="6"/>
  <c r="Z63" i="6"/>
  <c r="AM66" i="6"/>
  <c r="AM44" i="6"/>
  <c r="AH33" i="6"/>
  <c r="AM42" i="6"/>
  <c r="Z67" i="6"/>
  <c r="Z40" i="6"/>
  <c r="Z80" i="6"/>
  <c r="Z72" i="6"/>
  <c r="Z59" i="6"/>
  <c r="Z64" i="6"/>
  <c r="Z43" i="6"/>
  <c r="Z76" i="6"/>
  <c r="Z75" i="6"/>
  <c r="Z68" i="6"/>
  <c r="Z56" i="6"/>
  <c r="Z28" i="6"/>
  <c r="V32" i="6"/>
  <c r="AM75" i="6"/>
  <c r="AM59" i="6"/>
  <c r="AM43" i="6"/>
  <c r="AM35" i="6"/>
  <c r="AM27" i="6"/>
  <c r="AM26" i="6"/>
  <c r="AM81" i="6"/>
  <c r="AM73" i="6"/>
  <c r="AM65" i="6"/>
  <c r="AM57" i="6"/>
  <c r="AM49" i="6"/>
  <c r="AM41" i="6"/>
  <c r="AM33" i="6"/>
  <c r="AM79" i="6"/>
  <c r="AM71" i="6"/>
  <c r="AM63" i="6"/>
  <c r="AM55" i="6"/>
  <c r="AM47" i="6"/>
  <c r="AM39" i="6"/>
  <c r="AM78" i="6"/>
  <c r="AM70" i="6"/>
  <c r="AM54" i="6"/>
  <c r="AM46" i="6"/>
  <c r="AM38" i="6"/>
  <c r="AM30" i="6"/>
  <c r="AM77" i="6"/>
  <c r="AM69" i="6"/>
  <c r="AM61" i="6"/>
  <c r="AM53" i="6"/>
  <c r="AM45" i="6"/>
  <c r="AM37" i="6"/>
  <c r="AM29" i="6"/>
  <c r="AK85" i="7"/>
  <c r="AU85" i="7" s="1"/>
  <c r="AW85" i="7" s="1"/>
  <c r="AR60" i="7"/>
  <c r="AS60" i="7" s="1"/>
  <c r="AK65" i="7"/>
  <c r="AU65" i="7" s="1"/>
  <c r="AW65" i="7" s="1"/>
  <c r="AW47" i="7"/>
  <c r="AZ47" i="7"/>
  <c r="AW57" i="7"/>
  <c r="AZ57" i="7"/>
  <c r="AK93" i="7"/>
  <c r="AK82" i="7"/>
  <c r="AU82" i="7" s="1"/>
  <c r="AW82" i="7" s="1"/>
  <c r="AK71" i="7"/>
  <c r="AU71" i="7" s="1"/>
  <c r="AW71" i="7" s="1"/>
  <c r="AK90" i="7"/>
  <c r="AU90" i="7" s="1"/>
  <c r="AW90" i="7" s="1"/>
  <c r="AK76" i="7"/>
  <c r="AK98" i="7"/>
  <c r="AK88" i="7"/>
  <c r="AU88" i="7" s="1"/>
  <c r="AW88" i="7" s="1"/>
  <c r="AK80" i="7"/>
  <c r="AU80" i="7" s="1"/>
  <c r="AW80" i="7" s="1"/>
  <c r="AK64" i="7"/>
  <c r="AU64" i="7" s="1"/>
  <c r="AW64" i="7" s="1"/>
  <c r="AK40" i="7"/>
  <c r="AU40" i="7" s="1"/>
  <c r="AW40" i="7" s="1"/>
  <c r="AK32" i="7"/>
  <c r="AU32" i="7" s="1"/>
  <c r="BK32" i="7" s="1"/>
  <c r="AO32" i="7"/>
  <c r="AO57" i="7"/>
  <c r="AK61" i="7"/>
  <c r="AK53" i="7"/>
  <c r="AU53" i="7" s="1"/>
  <c r="AW53" i="7" s="1"/>
  <c r="AK45" i="7"/>
  <c r="AU45" i="7" s="1"/>
  <c r="AW45" i="7" s="1"/>
  <c r="AR57" i="7"/>
  <c r="AS57" i="7" s="1"/>
  <c r="P39" i="7"/>
  <c r="P20" i="7" s="1"/>
  <c r="AG90" i="7"/>
  <c r="AK69" i="7"/>
  <c r="AK95" i="7"/>
  <c r="AU95" i="7" s="1"/>
  <c r="AW95" i="7" s="1"/>
  <c r="AK87" i="7"/>
  <c r="AU87" i="7" s="1"/>
  <c r="AW87" i="7" s="1"/>
  <c r="AK79" i="7"/>
  <c r="AU79" i="7" s="1"/>
  <c r="AW79" i="7" s="1"/>
  <c r="AK63" i="7"/>
  <c r="AU63" i="7" s="1"/>
  <c r="AW63" i="7" s="1"/>
  <c r="AO52" i="7"/>
  <c r="AK60" i="7"/>
  <c r="AU60" i="7" s="1"/>
  <c r="BK60" i="7" s="1"/>
  <c r="AK74" i="7"/>
  <c r="AU74" i="7" s="1"/>
  <c r="AW74" i="7" s="1"/>
  <c r="AK58" i="7"/>
  <c r="AU58" i="7" s="1"/>
  <c r="AK75" i="7"/>
  <c r="AU75" i="7" s="1"/>
  <c r="AW75" i="7" s="1"/>
  <c r="AK97" i="7"/>
  <c r="AU97" i="7" s="1"/>
  <c r="AW97" i="7" s="1"/>
  <c r="AK89" i="7"/>
  <c r="AU89" i="7" s="1"/>
  <c r="AW89" i="7" s="1"/>
  <c r="AK54" i="7"/>
  <c r="AU54" i="7" s="1"/>
  <c r="AW54" i="7" s="1"/>
  <c r="AK34" i="7"/>
  <c r="AU34" i="7" s="1"/>
  <c r="BK34" i="7" s="1"/>
  <c r="AK51" i="7"/>
  <c r="AA77" i="7"/>
  <c r="AA37" i="7"/>
  <c r="AK37" i="7" s="1"/>
  <c r="AU37" i="7" s="1"/>
  <c r="AW37" i="7" s="1"/>
  <c r="AO29" i="7"/>
  <c r="AK29" i="7"/>
  <c r="AU29" i="7" s="1"/>
  <c r="BK29" i="7" s="1"/>
  <c r="AA55" i="7"/>
  <c r="AK55" i="7" s="1"/>
  <c r="AU55" i="7" s="1"/>
  <c r="AW55" i="7" s="1"/>
  <c r="AA39" i="7"/>
  <c r="AK39" i="7" s="1"/>
  <c r="AU39" i="7" s="1"/>
  <c r="AW39" i="7" s="1"/>
  <c r="AA31" i="7"/>
  <c r="AA23" i="7"/>
  <c r="AK23" i="7" s="1"/>
  <c r="AU23" i="7" s="1"/>
  <c r="AW23" i="7" s="1"/>
  <c r="AA38" i="7"/>
  <c r="AA30" i="7"/>
  <c r="AG88" i="7"/>
  <c r="AH86" i="7"/>
  <c r="AH84" i="7"/>
  <c r="G22" i="7"/>
  <c r="AB22" i="7" s="1"/>
  <c r="AH97" i="7"/>
  <c r="AG86" i="7"/>
  <c r="AG84" i="7"/>
  <c r="AH82" i="7"/>
  <c r="AH80" i="7"/>
  <c r="AH78" i="7"/>
  <c r="AH76" i="7"/>
  <c r="AH74" i="7"/>
  <c r="AH72" i="7"/>
  <c r="AH70" i="7"/>
  <c r="AH68" i="7"/>
  <c r="AH66" i="7"/>
  <c r="AH64" i="7"/>
  <c r="AH62" i="7"/>
  <c r="AH60" i="7"/>
  <c r="AH58" i="7"/>
  <c r="AH56" i="7"/>
  <c r="AH54" i="7"/>
  <c r="AH52" i="7"/>
  <c r="AH50" i="7"/>
  <c r="AH48" i="7"/>
  <c r="AH46" i="7"/>
  <c r="AH44" i="7"/>
  <c r="AH42" i="7"/>
  <c r="AH40" i="7"/>
  <c r="AH38" i="7"/>
  <c r="AH36" i="7"/>
  <c r="AH34" i="7"/>
  <c r="AH32" i="7"/>
  <c r="AH30" i="7"/>
  <c r="AH28" i="7"/>
  <c r="AH26" i="7"/>
  <c r="AH24" i="7"/>
  <c r="AO34" i="7"/>
  <c r="AG97" i="7"/>
  <c r="AH95" i="7"/>
  <c r="AH93" i="7"/>
  <c r="AG82" i="7"/>
  <c r="AG80" i="7"/>
  <c r="AG78" i="7"/>
  <c r="AG76" i="7"/>
  <c r="AG74" i="7"/>
  <c r="AG72" i="7"/>
  <c r="AG70" i="7"/>
  <c r="AG68" i="7"/>
  <c r="AG66" i="7"/>
  <c r="AG64" i="7"/>
  <c r="AG62" i="7"/>
  <c r="AG60" i="7"/>
  <c r="AG58" i="7"/>
  <c r="AG56" i="7"/>
  <c r="AG54" i="7"/>
  <c r="AG52" i="7"/>
  <c r="AG50" i="7"/>
  <c r="AG48" i="7"/>
  <c r="AG46" i="7"/>
  <c r="AG44" i="7"/>
  <c r="AG42" i="7"/>
  <c r="AG40" i="7"/>
  <c r="AG38" i="7"/>
  <c r="AG36" i="7"/>
  <c r="AG34" i="7"/>
  <c r="AG32" i="7"/>
  <c r="AG30" i="7"/>
  <c r="AG28" i="7"/>
  <c r="AG26" i="7"/>
  <c r="AG24" i="7"/>
  <c r="AG95" i="7"/>
  <c r="AL95" i="7" s="1"/>
  <c r="AG93" i="7"/>
  <c r="AL93" i="7" s="1"/>
  <c r="AM93" i="7" s="1"/>
  <c r="AH91" i="7"/>
  <c r="AH89" i="7"/>
  <c r="AG91" i="7"/>
  <c r="AG89" i="7"/>
  <c r="AH87" i="7"/>
  <c r="AH85" i="7"/>
  <c r="AH98" i="7"/>
  <c r="AH96" i="7"/>
  <c r="AG87" i="7"/>
  <c r="AG85" i="7"/>
  <c r="AH83" i="7"/>
  <c r="AH81" i="7"/>
  <c r="AH79" i="7"/>
  <c r="AH77" i="7"/>
  <c r="AH75" i="7"/>
  <c r="AH73" i="7"/>
  <c r="AH71" i="7"/>
  <c r="AH69" i="7"/>
  <c r="AH67" i="7"/>
  <c r="AH65" i="7"/>
  <c r="AH63" i="7"/>
  <c r="AH61" i="7"/>
  <c r="AH59" i="7"/>
  <c r="AH57" i="7"/>
  <c r="AH55" i="7"/>
  <c r="AH53" i="7"/>
  <c r="AH51" i="7"/>
  <c r="AH49" i="7"/>
  <c r="AH47" i="7"/>
  <c r="AH45" i="7"/>
  <c r="AH43" i="7"/>
  <c r="AH41" i="7"/>
  <c r="AH37" i="7"/>
  <c r="AH35" i="7"/>
  <c r="AH33" i="7"/>
  <c r="AH31" i="7"/>
  <c r="AL31" i="7" s="1"/>
  <c r="AH29" i="7"/>
  <c r="AH27" i="7"/>
  <c r="AH25" i="7"/>
  <c r="AH23" i="7"/>
  <c r="AO60" i="7"/>
  <c r="K31" i="7"/>
  <c r="K20" i="7" s="1"/>
  <c r="AG98" i="7"/>
  <c r="AG96" i="7"/>
  <c r="AH94" i="7"/>
  <c r="AH92" i="7"/>
  <c r="AG83" i="7"/>
  <c r="AG81" i="7"/>
  <c r="AG79" i="7"/>
  <c r="AG77" i="7"/>
  <c r="AG75" i="7"/>
  <c r="AG73" i="7"/>
  <c r="AG71" i="7"/>
  <c r="AG69" i="7"/>
  <c r="AG67" i="7"/>
  <c r="AG65" i="7"/>
  <c r="AG63" i="7"/>
  <c r="AG61" i="7"/>
  <c r="AG59" i="7"/>
  <c r="AG57" i="7"/>
  <c r="AG55" i="7"/>
  <c r="AG53" i="7"/>
  <c r="AG51" i="7"/>
  <c r="AG49" i="7"/>
  <c r="AG47" i="7"/>
  <c r="AG45" i="7"/>
  <c r="AG43" i="7"/>
  <c r="AG41" i="7"/>
  <c r="AG39" i="7"/>
  <c r="AL39" i="7" s="1"/>
  <c r="AG37" i="7"/>
  <c r="AG35" i="7"/>
  <c r="AG33" i="7"/>
  <c r="AG29" i="7"/>
  <c r="AG27" i="7"/>
  <c r="AG25" i="7"/>
  <c r="AG23" i="7"/>
  <c r="AG94" i="7"/>
  <c r="AL94" i="7" s="1"/>
  <c r="AG92" i="7"/>
  <c r="AH90" i="7"/>
  <c r="AH88" i="7"/>
  <c r="AA81" i="7"/>
  <c r="AA73" i="7"/>
  <c r="AA49" i="7"/>
  <c r="AK49" i="7" s="1"/>
  <c r="AU49" i="7" s="1"/>
  <c r="AW49" i="7" s="1"/>
  <c r="AA41" i="7"/>
  <c r="AK41" i="7" s="1"/>
  <c r="AA33" i="7"/>
  <c r="BM33" i="7" s="1"/>
  <c r="AA25" i="7"/>
  <c r="BM25" i="7" s="1"/>
  <c r="AA83" i="7"/>
  <c r="AA67" i="7"/>
  <c r="AA43" i="7"/>
  <c r="AK43" i="7" s="1"/>
  <c r="AU43" i="7" s="1"/>
  <c r="AW43" i="7" s="1"/>
  <c r="AA35" i="7"/>
  <c r="BM35" i="7" s="1"/>
  <c r="AA27" i="7"/>
  <c r="BM27" i="7" s="1"/>
  <c r="AA96" i="7"/>
  <c r="AA24" i="7"/>
  <c r="BM24" i="7" s="1"/>
  <c r="AA66" i="7"/>
  <c r="AA42" i="7"/>
  <c r="AA26" i="7"/>
  <c r="BM26" i="7" s="1"/>
  <c r="AA68" i="7"/>
  <c r="AA36" i="7"/>
  <c r="AK36" i="7" s="1"/>
  <c r="AU36" i="7" s="1"/>
  <c r="AW36" i="7" s="1"/>
  <c r="AA28" i="7"/>
  <c r="BM28" i="7" s="1"/>
  <c r="AA22" i="7"/>
  <c r="X20" i="7"/>
  <c r="M20" i="7"/>
  <c r="V27" i="6"/>
  <c r="V70" i="6"/>
  <c r="V48" i="6"/>
  <c r="V42" i="6"/>
  <c r="V36" i="6"/>
  <c r="V34" i="6"/>
  <c r="V31" i="6"/>
  <c r="V51" i="6"/>
  <c r="V45" i="6"/>
  <c r="V37" i="6"/>
  <c r="V29" i="6"/>
  <c r="V52" i="6"/>
  <c r="V35" i="6"/>
  <c r="V38" i="6"/>
  <c r="V30" i="6"/>
  <c r="V33" i="6"/>
  <c r="J43" i="6"/>
  <c r="K43" i="6" s="1"/>
  <c r="J59" i="6"/>
  <c r="K59" i="6" s="1"/>
  <c r="W54" i="6"/>
  <c r="W79" i="6"/>
  <c r="W59" i="6"/>
  <c r="W38" i="6"/>
  <c r="W51" i="6"/>
  <c r="W47" i="6"/>
  <c r="W42" i="6"/>
  <c r="W52" i="6"/>
  <c r="J49" i="6"/>
  <c r="K49" i="6" s="1"/>
  <c r="AA48" i="6"/>
  <c r="AU48" i="6" s="1"/>
  <c r="J45" i="6"/>
  <c r="K45" i="6" s="1"/>
  <c r="W44" i="6"/>
  <c r="AA44" i="6"/>
  <c r="W40" i="6"/>
  <c r="AG46" i="6"/>
  <c r="W37" i="6"/>
  <c r="W33" i="6"/>
  <c r="W29" i="6"/>
  <c r="W70" i="6"/>
  <c r="W66" i="6"/>
  <c r="W62" i="6"/>
  <c r="J35" i="6"/>
  <c r="K35" i="6" s="1"/>
  <c r="AG78" i="6"/>
  <c r="W69" i="6"/>
  <c r="AG69" i="6"/>
  <c r="J66" i="6"/>
  <c r="K66" i="6" s="1"/>
  <c r="AG65" i="6"/>
  <c r="W61" i="6"/>
  <c r="AA61" i="6"/>
  <c r="AU61" i="6" s="1"/>
  <c r="W43" i="6"/>
  <c r="W36" i="6"/>
  <c r="J29" i="6"/>
  <c r="K29" i="6" s="1"/>
  <c r="W28" i="6"/>
  <c r="AA28" i="6"/>
  <c r="AU28" i="6" s="1"/>
  <c r="W53" i="6"/>
  <c r="AG53" i="6"/>
  <c r="W45" i="6"/>
  <c r="AA45" i="6"/>
  <c r="AU45" i="6" s="1"/>
  <c r="AG74" i="6"/>
  <c r="J67" i="6"/>
  <c r="K67" i="6" s="1"/>
  <c r="W50" i="6"/>
  <c r="W34" i="6"/>
  <c r="W30" i="6"/>
  <c r="W58" i="6"/>
  <c r="J48" i="6"/>
  <c r="K48" i="6" s="1"/>
  <c r="J44" i="6"/>
  <c r="K44" i="6" s="1"/>
  <c r="W76" i="6"/>
  <c r="W72" i="6"/>
  <c r="W68" i="6"/>
  <c r="J65" i="6"/>
  <c r="K65" i="6" s="1"/>
  <c r="J61" i="6"/>
  <c r="K61" i="6" s="1"/>
  <c r="W60" i="6"/>
  <c r="AA60" i="6"/>
  <c r="AU60" i="6" s="1"/>
  <c r="AA56" i="6"/>
  <c r="AU56" i="6" s="1"/>
  <c r="W31" i="6"/>
  <c r="AF28" i="6"/>
  <c r="AG28" i="6" s="1"/>
  <c r="J80" i="6"/>
  <c r="K80" i="6" s="1"/>
  <c r="W71" i="6"/>
  <c r="J55" i="6"/>
  <c r="K55" i="6" s="1"/>
  <c r="W35" i="6"/>
  <c r="W67" i="6"/>
  <c r="W63" i="6"/>
  <c r="J51" i="6"/>
  <c r="K51" i="6" s="1"/>
  <c r="J30" i="6"/>
  <c r="K30" i="6" s="1"/>
  <c r="AA29" i="6"/>
  <c r="AU29" i="6" s="1"/>
  <c r="W55" i="6"/>
  <c r="J39" i="6"/>
  <c r="K39" i="6" s="1"/>
  <c r="W77" i="6"/>
  <c r="AG77" i="6"/>
  <c r="W73" i="6"/>
  <c r="W56" i="6"/>
  <c r="W46" i="6"/>
  <c r="W39" i="6"/>
  <c r="W80" i="6"/>
  <c r="AG62" i="6"/>
  <c r="J75" i="6"/>
  <c r="K75" i="6" s="1"/>
  <c r="J57" i="6"/>
  <c r="K57" i="6" s="1"/>
  <c r="J47" i="6"/>
  <c r="K47" i="6" s="1"/>
  <c r="J41" i="6"/>
  <c r="K41" i="6" s="1"/>
  <c r="J79" i="6"/>
  <c r="K79" i="6" s="1"/>
  <c r="W78" i="6"/>
  <c r="W75" i="6"/>
  <c r="AG67" i="6"/>
  <c r="W65" i="6"/>
  <c r="W49" i="6"/>
  <c r="AA27" i="6"/>
  <c r="AC27" i="6" s="1"/>
  <c r="J74" i="6"/>
  <c r="K74" i="6" s="1"/>
  <c r="AG73" i="6"/>
  <c r="J69" i="6"/>
  <c r="K69" i="6" s="1"/>
  <c r="AA63" i="6"/>
  <c r="J58" i="6"/>
  <c r="K58" i="6" s="1"/>
  <c r="J53" i="6"/>
  <c r="K53" i="6" s="1"/>
  <c r="AA52" i="6"/>
  <c r="AU52" i="6" s="1"/>
  <c r="AA47" i="6"/>
  <c r="J42" i="6"/>
  <c r="K42" i="6" s="1"/>
  <c r="J37" i="6"/>
  <c r="K37" i="6" s="1"/>
  <c r="AA36" i="6"/>
  <c r="AU36" i="6" s="1"/>
  <c r="J32" i="6"/>
  <c r="AA31" i="6"/>
  <c r="AU31" i="6" s="1"/>
  <c r="J63" i="6"/>
  <c r="K63" i="6" s="1"/>
  <c r="J27" i="6"/>
  <c r="K27" i="6" s="1"/>
  <c r="J81" i="6"/>
  <c r="K81" i="6" s="1"/>
  <c r="AG79" i="6"/>
  <c r="AG70" i="6"/>
  <c r="J54" i="6"/>
  <c r="K54" i="6" s="1"/>
  <c r="AG38" i="6"/>
  <c r="J73" i="6"/>
  <c r="K73" i="6" s="1"/>
  <c r="W74" i="6"/>
  <c r="W64" i="6"/>
  <c r="W48" i="6"/>
  <c r="AA37" i="6"/>
  <c r="AU37" i="6" s="1"/>
  <c r="J33" i="6"/>
  <c r="K33" i="6" s="1"/>
  <c r="W32" i="6"/>
  <c r="AA32" i="6"/>
  <c r="AU32" i="6" s="1"/>
  <c r="AG80" i="6"/>
  <c r="J62" i="6"/>
  <c r="K62" i="6" s="1"/>
  <c r="W81" i="6"/>
  <c r="AG81" i="6"/>
  <c r="J76" i="6"/>
  <c r="K76" i="6" s="1"/>
  <c r="AG59" i="6"/>
  <c r="W57" i="6"/>
  <c r="W41" i="6"/>
  <c r="J40" i="6"/>
  <c r="V40" i="6" s="1"/>
  <c r="AF60" i="6"/>
  <c r="AG60" i="6" s="1"/>
  <c r="J68" i="6"/>
  <c r="K68" i="6" s="1"/>
  <c r="J77" i="6"/>
  <c r="K77" i="6" s="1"/>
  <c r="AG75" i="6"/>
  <c r="J72" i="6"/>
  <c r="K72" i="6" s="1"/>
  <c r="AG71" i="6"/>
  <c r="J56" i="6"/>
  <c r="K56" i="6" s="1"/>
  <c r="AA55" i="6"/>
  <c r="AU55" i="6" s="1"/>
  <c r="J52" i="6"/>
  <c r="K52" i="6" s="1"/>
  <c r="J50" i="6"/>
  <c r="AA39" i="6"/>
  <c r="AU39" i="6" s="1"/>
  <c r="J36" i="6"/>
  <c r="K36" i="6" s="1"/>
  <c r="J34" i="6"/>
  <c r="K34" i="6" s="1"/>
  <c r="J71" i="6"/>
  <c r="K71" i="6" s="1"/>
  <c r="AG40" i="6"/>
  <c r="AA57" i="6"/>
  <c r="AU57" i="6" s="1"/>
  <c r="AA49" i="6"/>
  <c r="AA41" i="6"/>
  <c r="AU41" i="6" s="1"/>
  <c r="AA33" i="6"/>
  <c r="AU33" i="6" s="1"/>
  <c r="J70" i="6"/>
  <c r="K70" i="6" s="1"/>
  <c r="J38" i="6"/>
  <c r="K38" i="6" s="1"/>
  <c r="J28" i="6"/>
  <c r="K28" i="6" s="1"/>
  <c r="AG76" i="6"/>
  <c r="AF48" i="6"/>
  <c r="AG48" i="6" s="1"/>
  <c r="AF44" i="6"/>
  <c r="AG44" i="6" s="1"/>
  <c r="AF37" i="6"/>
  <c r="AG37" i="6" s="1"/>
  <c r="AG30" i="6"/>
  <c r="AF63" i="6"/>
  <c r="AG63" i="6" s="1"/>
  <c r="AG49" i="6"/>
  <c r="AA64" i="6"/>
  <c r="AA58" i="6"/>
  <c r="AU58" i="6" s="1"/>
  <c r="AA50" i="6"/>
  <c r="AA42" i="6"/>
  <c r="AU42" i="6" s="1"/>
  <c r="AA34" i="6"/>
  <c r="AU34" i="6" s="1"/>
  <c r="J60" i="6"/>
  <c r="K60" i="6" s="1"/>
  <c r="AG72" i="6"/>
  <c r="AF55" i="6"/>
  <c r="AG55" i="6" s="1"/>
  <c r="AF52" i="6"/>
  <c r="AG52" i="6" s="1"/>
  <c r="AF47" i="6"/>
  <c r="AG47" i="6" s="1"/>
  <c r="AF33" i="6"/>
  <c r="AG33" i="6" s="1"/>
  <c r="AG41" i="6"/>
  <c r="AG34" i="6"/>
  <c r="AA59" i="6"/>
  <c r="AU59" i="6" s="1"/>
  <c r="AA51" i="6"/>
  <c r="AU51" i="6" s="1"/>
  <c r="AA43" i="6"/>
  <c r="AA35" i="6"/>
  <c r="AU35" i="6" s="1"/>
  <c r="J78" i="6"/>
  <c r="K78" i="6" s="1"/>
  <c r="J64" i="6"/>
  <c r="J46" i="6"/>
  <c r="K46" i="6" s="1"/>
  <c r="AG68" i="6"/>
  <c r="AF58" i="6"/>
  <c r="AG58" i="6" s="1"/>
  <c r="AF43" i="6"/>
  <c r="AG43" i="6" s="1"/>
  <c r="AA40" i="6"/>
  <c r="AG66" i="6"/>
  <c r="AF56" i="6"/>
  <c r="AG56" i="6" s="1"/>
  <c r="AF61" i="6"/>
  <c r="AG61" i="6" s="1"/>
  <c r="AG54" i="6"/>
  <c r="AG51" i="6"/>
  <c r="AF39" i="6"/>
  <c r="AG39" i="6" s="1"/>
  <c r="AF36" i="6"/>
  <c r="AG36" i="6" s="1"/>
  <c r="AF29" i="6"/>
  <c r="AG29" i="6" s="1"/>
  <c r="AA53" i="6"/>
  <c r="J31" i="6"/>
  <c r="K31" i="6" s="1"/>
  <c r="AF64" i="6"/>
  <c r="AG64" i="6" s="1"/>
  <c r="AF57" i="6"/>
  <c r="AG57" i="6" s="1"/>
  <c r="AF50" i="6"/>
  <c r="AG50" i="6" s="1"/>
  <c r="AF42" i="6"/>
  <c r="AG42" i="6" s="1"/>
  <c r="AF32" i="6"/>
  <c r="AG32" i="6" s="1"/>
  <c r="AF31" i="6"/>
  <c r="AG31" i="6" s="1"/>
  <c r="AA62" i="6"/>
  <c r="AA54" i="6"/>
  <c r="AU54" i="6" s="1"/>
  <c r="AA46" i="6"/>
  <c r="AA38" i="6"/>
  <c r="AU38" i="6" s="1"/>
  <c r="AA30" i="6"/>
  <c r="AU30" i="6" s="1"/>
  <c r="AF45" i="6"/>
  <c r="AG45" i="6" s="1"/>
  <c r="AF35" i="6"/>
  <c r="AG35" i="6" s="1"/>
  <c r="AA76" i="6"/>
  <c r="AB76" i="6"/>
  <c r="AA77" i="6"/>
  <c r="AB77" i="6"/>
  <c r="AA66" i="6"/>
  <c r="AU66" i="6" s="1"/>
  <c r="AB66" i="6"/>
  <c r="AA74" i="6"/>
  <c r="AU74" i="6" s="1"/>
  <c r="AB74" i="6"/>
  <c r="AA65" i="6"/>
  <c r="AU65" i="6" s="1"/>
  <c r="AB65" i="6"/>
  <c r="AA81" i="6"/>
  <c r="AB81" i="6"/>
  <c r="AA73" i="6"/>
  <c r="AU73" i="6" s="1"/>
  <c r="AB73" i="6"/>
  <c r="AA70" i="6"/>
  <c r="AU70" i="6" s="1"/>
  <c r="AB70" i="6"/>
  <c r="AA80" i="6"/>
  <c r="AB80" i="6"/>
  <c r="AA72" i="6"/>
  <c r="AU72" i="6" s="1"/>
  <c r="AB72" i="6"/>
  <c r="AA67" i="6"/>
  <c r="AB67" i="6"/>
  <c r="AA78" i="6"/>
  <c r="AB78" i="6"/>
  <c r="AA69" i="6"/>
  <c r="AB69" i="6"/>
  <c r="AA79" i="6"/>
  <c r="AB79" i="6"/>
  <c r="AA71" i="6"/>
  <c r="AB71" i="6"/>
  <c r="AA75" i="6"/>
  <c r="AU75" i="6" s="1"/>
  <c r="AB75" i="6"/>
  <c r="AA68" i="6"/>
  <c r="AB68" i="6"/>
  <c r="AB64" i="6"/>
  <c r="AB63" i="6"/>
  <c r="AB62" i="6"/>
  <c r="AB61" i="6"/>
  <c r="AB60" i="6"/>
  <c r="AB59" i="6"/>
  <c r="AB58" i="6"/>
  <c r="AB57" i="6"/>
  <c r="AB56" i="6"/>
  <c r="AB55" i="6"/>
  <c r="AB54" i="6"/>
  <c r="AB53" i="6"/>
  <c r="AB52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9" i="6"/>
  <c r="AB28" i="6"/>
  <c r="AF27" i="6"/>
  <c r="W27" i="6"/>
  <c r="G20" i="6"/>
  <c r="M20" i="6"/>
  <c r="N20" i="6"/>
  <c r="O20" i="6"/>
  <c r="L20" i="6"/>
  <c r="E20" i="6"/>
  <c r="I20" i="6"/>
  <c r="R20" i="6"/>
  <c r="Q20" i="6"/>
  <c r="F20" i="6"/>
  <c r="P20" i="6"/>
  <c r="BA25" i="7"/>
  <c r="BD25" i="7" s="1"/>
  <c r="BA33" i="7"/>
  <c r="BD33" i="7" s="1"/>
  <c r="BA65" i="7"/>
  <c r="BD65" i="7" s="1"/>
  <c r="BA26" i="7"/>
  <c r="BD26" i="7" s="1"/>
  <c r="BA31" i="7"/>
  <c r="BD31" i="7" s="1"/>
  <c r="BA42" i="7"/>
  <c r="BD42" i="7" s="1"/>
  <c r="BA72" i="7"/>
  <c r="BD72" i="7" s="1"/>
  <c r="BA34" i="7"/>
  <c r="BD34" i="7" s="1"/>
  <c r="BA23" i="7"/>
  <c r="BD23" i="7" s="1"/>
  <c r="BA57" i="7"/>
  <c r="BD57" i="7" s="1"/>
  <c r="BA41" i="7"/>
  <c r="BD41" i="7" s="1"/>
  <c r="BA64" i="7"/>
  <c r="BD64" i="7" s="1"/>
  <c r="BA70" i="7"/>
  <c r="BD70" i="7" s="1"/>
  <c r="BA91" i="7"/>
  <c r="BD91" i="7" s="1"/>
  <c r="BA75" i="7"/>
  <c r="BD75" i="7" s="1"/>
  <c r="BA80" i="7"/>
  <c r="BD80" i="7" s="1"/>
  <c r="BA83" i="7"/>
  <c r="BD83" i="7" s="1"/>
  <c r="BA96" i="7"/>
  <c r="BD96" i="7" s="1"/>
  <c r="BA88" i="7"/>
  <c r="BD88" i="7" s="1"/>
  <c r="BA67" i="7"/>
  <c r="BD67" i="7" s="1"/>
  <c r="H20" i="6"/>
  <c r="D20" i="6"/>
  <c r="Y67" i="2"/>
  <c r="AX46" i="2"/>
  <c r="AT46" i="2"/>
  <c r="BS67" i="2"/>
  <c r="BO67" i="2"/>
  <c r="S43" i="2"/>
  <c r="AX67" i="2"/>
  <c r="AY67" i="2" s="1"/>
  <c r="BA67" i="2" s="1"/>
  <c r="CA67" i="2"/>
  <c r="CF67" i="2"/>
  <c r="CJ67" i="2"/>
  <c r="CL67" i="2" s="1"/>
  <c r="CM67" i="2" s="1"/>
  <c r="CO67" i="2" s="1"/>
  <c r="CP67" i="2" s="1"/>
  <c r="CT67" i="2" s="1"/>
  <c r="CU67" i="2" s="1"/>
  <c r="AM94" i="4"/>
  <c r="AE94" i="4"/>
  <c r="AM91" i="4"/>
  <c r="AE91" i="4"/>
  <c r="AO90" i="4"/>
  <c r="AP90" i="4" s="1"/>
  <c r="AN90" i="4"/>
  <c r="AE90" i="4"/>
  <c r="AE87" i="4"/>
  <c r="AL87" i="4"/>
  <c r="AM87" i="4" s="1"/>
  <c r="BQ67" i="2"/>
  <c r="BR67" i="2"/>
  <c r="BY67" i="2"/>
  <c r="CE67" i="2"/>
  <c r="BP67" i="2"/>
  <c r="BZ67" i="2"/>
  <c r="BX67" i="2"/>
  <c r="AP67" i="2"/>
  <c r="CB67" i="2"/>
  <c r="AT67" i="2"/>
  <c r="BV67" i="2"/>
  <c r="CD67" i="2"/>
  <c r="BU67" i="2"/>
  <c r="CC67" i="2"/>
  <c r="S36" i="2"/>
  <c r="S40" i="2"/>
  <c r="J4" i="5"/>
  <c r="AE38" i="4"/>
  <c r="AX36" i="2"/>
  <c r="Y36" i="2"/>
  <c r="AX40" i="2"/>
  <c r="AT43" i="2"/>
  <c r="Y40" i="2"/>
  <c r="Y43" i="2"/>
  <c r="BL30" i="2"/>
  <c r="BM30" i="2"/>
  <c r="BU30" i="2"/>
  <c r="BV30" i="2"/>
  <c r="BW30" i="2"/>
  <c r="BX30" i="2"/>
  <c r="BY30" i="2"/>
  <c r="CG30" i="2"/>
  <c r="CH30" i="2"/>
  <c r="CK30" i="2"/>
  <c r="CN30" i="2"/>
  <c r="CQ30" i="2"/>
  <c r="CR30" i="2"/>
  <c r="BL31" i="2"/>
  <c r="BM31" i="2"/>
  <c r="CG31" i="2"/>
  <c r="CH31" i="2"/>
  <c r="CK31" i="2"/>
  <c r="CN31" i="2"/>
  <c r="CQ31" i="2"/>
  <c r="CR31" i="2"/>
  <c r="BL32" i="2"/>
  <c r="BM32" i="2"/>
  <c r="BU32" i="2"/>
  <c r="BV32" i="2"/>
  <c r="BW32" i="2"/>
  <c r="BX32" i="2"/>
  <c r="BY32" i="2"/>
  <c r="CG32" i="2"/>
  <c r="CH32" i="2"/>
  <c r="CK32" i="2"/>
  <c r="CN32" i="2"/>
  <c r="CQ32" i="2"/>
  <c r="CR32" i="2"/>
  <c r="BL33" i="2"/>
  <c r="BM33" i="2"/>
  <c r="CG33" i="2"/>
  <c r="CH33" i="2"/>
  <c r="CK33" i="2"/>
  <c r="CN33" i="2"/>
  <c r="CQ33" i="2"/>
  <c r="CR33" i="2"/>
  <c r="BL34" i="2"/>
  <c r="BM34" i="2"/>
  <c r="CG34" i="2"/>
  <c r="CH34" i="2"/>
  <c r="CK34" i="2"/>
  <c r="CN34" i="2"/>
  <c r="CR34" i="2"/>
  <c r="CQ34" i="2" s="1"/>
  <c r="BL35" i="2"/>
  <c r="BM35" i="2"/>
  <c r="CG35" i="2"/>
  <c r="CH35" i="2"/>
  <c r="CK35" i="2"/>
  <c r="CN35" i="2"/>
  <c r="CR35" i="2"/>
  <c r="CQ35" i="2" s="1"/>
  <c r="BL37" i="2"/>
  <c r="BM37" i="2"/>
  <c r="CG37" i="2"/>
  <c r="CH37" i="2"/>
  <c r="CK37" i="2"/>
  <c r="CN37" i="2"/>
  <c r="CR37" i="2"/>
  <c r="CQ37" i="2" s="1"/>
  <c r="BL38" i="2"/>
  <c r="BM38" i="2"/>
  <c r="CG38" i="2"/>
  <c r="CH38" i="2"/>
  <c r="CK38" i="2"/>
  <c r="CN38" i="2"/>
  <c r="CR38" i="2"/>
  <c r="CQ38" i="2" s="1"/>
  <c r="BL39" i="2"/>
  <c r="BM39" i="2"/>
  <c r="CG39" i="2"/>
  <c r="CH39" i="2"/>
  <c r="CK39" i="2"/>
  <c r="CN39" i="2"/>
  <c r="CR39" i="2"/>
  <c r="CQ39" i="2" s="1"/>
  <c r="BL41" i="2"/>
  <c r="BM41" i="2"/>
  <c r="CG41" i="2"/>
  <c r="CH41" i="2"/>
  <c r="CK41" i="2"/>
  <c r="CN41" i="2"/>
  <c r="CR41" i="2"/>
  <c r="CQ41" i="2" s="1"/>
  <c r="BL42" i="2"/>
  <c r="BM42" i="2"/>
  <c r="CG42" i="2"/>
  <c r="CH42" i="2"/>
  <c r="CK42" i="2"/>
  <c r="CN42" i="2"/>
  <c r="CR42" i="2"/>
  <c r="CQ42" i="2" s="1"/>
  <c r="BL44" i="2"/>
  <c r="BM44" i="2"/>
  <c r="CG44" i="2"/>
  <c r="CH44" i="2"/>
  <c r="CK44" i="2"/>
  <c r="CN44" i="2"/>
  <c r="CR44" i="2"/>
  <c r="CQ44" i="2" s="1"/>
  <c r="BL45" i="2"/>
  <c r="BM45" i="2"/>
  <c r="CG45" i="2"/>
  <c r="CH45" i="2"/>
  <c r="CK45" i="2"/>
  <c r="CN45" i="2"/>
  <c r="CR45" i="2"/>
  <c r="CQ45" i="2" s="1"/>
  <c r="BL47" i="2"/>
  <c r="BM47" i="2"/>
  <c r="CG47" i="2"/>
  <c r="CH47" i="2"/>
  <c r="CK47" i="2"/>
  <c r="CN47" i="2"/>
  <c r="CR47" i="2"/>
  <c r="CQ47" i="2" s="1"/>
  <c r="BL48" i="2"/>
  <c r="BM48" i="2"/>
  <c r="CG48" i="2"/>
  <c r="CH48" i="2"/>
  <c r="CK48" i="2"/>
  <c r="CN48" i="2"/>
  <c r="CR48" i="2"/>
  <c r="CQ48" i="2" s="1"/>
  <c r="BL49" i="2"/>
  <c r="BM49" i="2"/>
  <c r="CG49" i="2"/>
  <c r="CH49" i="2"/>
  <c r="CK49" i="2"/>
  <c r="CN49" i="2"/>
  <c r="CR49" i="2"/>
  <c r="CQ49" i="2" s="1"/>
  <c r="BL50" i="2"/>
  <c r="BM50" i="2"/>
  <c r="CG50" i="2"/>
  <c r="CH50" i="2"/>
  <c r="CK50" i="2"/>
  <c r="CN50" i="2"/>
  <c r="CR50" i="2"/>
  <c r="CQ50" i="2" s="1"/>
  <c r="BL51" i="2"/>
  <c r="BM51" i="2"/>
  <c r="CG51" i="2"/>
  <c r="CH51" i="2"/>
  <c r="CK51" i="2"/>
  <c r="CN51" i="2"/>
  <c r="CR51" i="2"/>
  <c r="CQ51" i="2" s="1"/>
  <c r="BL52" i="2"/>
  <c r="BM52" i="2"/>
  <c r="CG52" i="2"/>
  <c r="CH52" i="2"/>
  <c r="CK52" i="2"/>
  <c r="CN52" i="2"/>
  <c r="CR52" i="2"/>
  <c r="CQ52" i="2" s="1"/>
  <c r="BL53" i="2"/>
  <c r="BM53" i="2"/>
  <c r="BU53" i="2"/>
  <c r="BV53" i="2"/>
  <c r="BW53" i="2"/>
  <c r="BX53" i="2"/>
  <c r="BY53" i="2"/>
  <c r="CG53" i="2"/>
  <c r="CH53" i="2"/>
  <c r="CK53" i="2"/>
  <c r="CN53" i="2"/>
  <c r="CR53" i="2"/>
  <c r="CQ53" i="2" s="1"/>
  <c r="BL54" i="2"/>
  <c r="BM54" i="2"/>
  <c r="CG54" i="2"/>
  <c r="CH54" i="2"/>
  <c r="CK54" i="2"/>
  <c r="CN54" i="2"/>
  <c r="CR54" i="2"/>
  <c r="CQ54" i="2" s="1"/>
  <c r="BL55" i="2"/>
  <c r="BM55" i="2"/>
  <c r="CG55" i="2"/>
  <c r="CH55" i="2"/>
  <c r="CK55" i="2"/>
  <c r="CN55" i="2"/>
  <c r="CR55" i="2"/>
  <c r="CQ55" i="2" s="1"/>
  <c r="BL56" i="2"/>
  <c r="BM56" i="2"/>
  <c r="CG56" i="2"/>
  <c r="CH56" i="2"/>
  <c r="CK56" i="2"/>
  <c r="CN56" i="2"/>
  <c r="CR56" i="2"/>
  <c r="CQ56" i="2" s="1"/>
  <c r="BL57" i="2"/>
  <c r="BM57" i="2"/>
  <c r="CG57" i="2"/>
  <c r="CH57" i="2"/>
  <c r="CK57" i="2"/>
  <c r="CN57" i="2"/>
  <c r="CR57" i="2"/>
  <c r="CQ57" i="2" s="1"/>
  <c r="BL58" i="2"/>
  <c r="BM58" i="2"/>
  <c r="CG58" i="2"/>
  <c r="CH58" i="2"/>
  <c r="CK58" i="2"/>
  <c r="CN58" i="2"/>
  <c r="CR58" i="2"/>
  <c r="CQ58" i="2" s="1"/>
  <c r="BL59" i="2"/>
  <c r="BM59" i="2"/>
  <c r="CG59" i="2"/>
  <c r="CH59" i="2"/>
  <c r="CK59" i="2"/>
  <c r="CN59" i="2"/>
  <c r="CR59" i="2"/>
  <c r="CQ59" i="2" s="1"/>
  <c r="BL60" i="2"/>
  <c r="BM60" i="2"/>
  <c r="CG60" i="2"/>
  <c r="CH60" i="2"/>
  <c r="CK60" i="2"/>
  <c r="CN60" i="2"/>
  <c r="CR60" i="2"/>
  <c r="CQ60" i="2" s="1"/>
  <c r="BL61" i="2"/>
  <c r="BM61" i="2"/>
  <c r="CG61" i="2"/>
  <c r="CH61" i="2"/>
  <c r="CK61" i="2"/>
  <c r="CN61" i="2"/>
  <c r="CR61" i="2"/>
  <c r="CQ61" i="2" s="1"/>
  <c r="BL62" i="2"/>
  <c r="BM62" i="2"/>
  <c r="CG62" i="2"/>
  <c r="CH62" i="2"/>
  <c r="CK62" i="2"/>
  <c r="CN62" i="2"/>
  <c r="CR62" i="2"/>
  <c r="CQ62" i="2" s="1"/>
  <c r="BL63" i="2"/>
  <c r="BM63" i="2"/>
  <c r="CG63" i="2"/>
  <c r="CH63" i="2"/>
  <c r="CK63" i="2"/>
  <c r="CN63" i="2"/>
  <c r="CR63" i="2"/>
  <c r="CQ63" i="2" s="1"/>
  <c r="BL64" i="2"/>
  <c r="BM64" i="2"/>
  <c r="CG64" i="2"/>
  <c r="CH64" i="2"/>
  <c r="CK64" i="2"/>
  <c r="CN64" i="2"/>
  <c r="CR64" i="2"/>
  <c r="CQ64" i="2" s="1"/>
  <c r="BL65" i="2"/>
  <c r="BM65" i="2"/>
  <c r="CG65" i="2"/>
  <c r="CH65" i="2"/>
  <c r="CK65" i="2"/>
  <c r="CN65" i="2"/>
  <c r="CR65" i="2"/>
  <c r="CQ65" i="2" s="1"/>
  <c r="BL66" i="2"/>
  <c r="BM66" i="2"/>
  <c r="CG66" i="2"/>
  <c r="CH66" i="2"/>
  <c r="CK66" i="2"/>
  <c r="CN66" i="2"/>
  <c r="CR66" i="2"/>
  <c r="CQ66" i="2" s="1"/>
  <c r="BL68" i="2"/>
  <c r="BM68" i="2"/>
  <c r="BU68" i="2"/>
  <c r="BV68" i="2"/>
  <c r="BW68" i="2"/>
  <c r="BX68" i="2"/>
  <c r="BY68" i="2"/>
  <c r="CG68" i="2"/>
  <c r="CH68" i="2"/>
  <c r="CK68" i="2"/>
  <c r="CN68" i="2"/>
  <c r="CR68" i="2"/>
  <c r="CQ68" i="2" s="1"/>
  <c r="BL69" i="2"/>
  <c r="BM69" i="2"/>
  <c r="CG69" i="2"/>
  <c r="CH69" i="2"/>
  <c r="CK69" i="2"/>
  <c r="CN69" i="2"/>
  <c r="CR69" i="2"/>
  <c r="CQ69" i="2" s="1"/>
  <c r="BL70" i="2"/>
  <c r="BM70" i="2"/>
  <c r="CG70" i="2"/>
  <c r="CH70" i="2"/>
  <c r="CK70" i="2"/>
  <c r="CN70" i="2"/>
  <c r="CR70" i="2"/>
  <c r="CQ70" i="2" s="1"/>
  <c r="BL71" i="2"/>
  <c r="BM71" i="2"/>
  <c r="CG71" i="2"/>
  <c r="CH71" i="2"/>
  <c r="CK71" i="2"/>
  <c r="CN71" i="2"/>
  <c r="CR71" i="2"/>
  <c r="CQ71" i="2" s="1"/>
  <c r="BL72" i="2"/>
  <c r="CA72" i="2"/>
  <c r="CG72" i="2"/>
  <c r="CH72" i="2"/>
  <c r="CJ72" i="2"/>
  <c r="CK72" i="2"/>
  <c r="CN72" i="2"/>
  <c r="CQ72" i="2"/>
  <c r="CR72" i="2"/>
  <c r="BL73" i="2"/>
  <c r="CA73" i="2"/>
  <c r="CG73" i="2"/>
  <c r="CH73" i="2"/>
  <c r="CJ73" i="2"/>
  <c r="CK73" i="2"/>
  <c r="CN73" i="2"/>
  <c r="CQ73" i="2"/>
  <c r="CR73" i="2"/>
  <c r="BL74" i="2"/>
  <c r="CA74" i="2"/>
  <c r="CG74" i="2"/>
  <c r="CH74" i="2"/>
  <c r="CJ74" i="2"/>
  <c r="CK74" i="2"/>
  <c r="CN74" i="2"/>
  <c r="CQ74" i="2"/>
  <c r="CR74" i="2"/>
  <c r="BL75" i="2"/>
  <c r="CA75" i="2"/>
  <c r="CG75" i="2"/>
  <c r="CH75" i="2"/>
  <c r="CJ75" i="2"/>
  <c r="CK75" i="2"/>
  <c r="CN75" i="2"/>
  <c r="CQ75" i="2"/>
  <c r="CR75" i="2"/>
  <c r="BL76" i="2"/>
  <c r="CA76" i="2"/>
  <c r="CG76" i="2"/>
  <c r="CH76" i="2"/>
  <c r="CJ76" i="2"/>
  <c r="CK76" i="2"/>
  <c r="CN76" i="2"/>
  <c r="CQ76" i="2"/>
  <c r="CR76" i="2"/>
  <c r="BL77" i="2"/>
  <c r="CA77" i="2"/>
  <c r="CG77" i="2"/>
  <c r="CH77" i="2"/>
  <c r="CJ77" i="2"/>
  <c r="CK77" i="2"/>
  <c r="CN77" i="2"/>
  <c r="CQ77" i="2"/>
  <c r="CR77" i="2"/>
  <c r="BL78" i="2"/>
  <c r="CA78" i="2"/>
  <c r="CG78" i="2"/>
  <c r="CH78" i="2"/>
  <c r="CJ78" i="2"/>
  <c r="CK78" i="2"/>
  <c r="CN78" i="2"/>
  <c r="CQ78" i="2"/>
  <c r="CR78" i="2"/>
  <c r="BL79" i="2"/>
  <c r="CA79" i="2"/>
  <c r="CG79" i="2"/>
  <c r="CH79" i="2"/>
  <c r="CJ79" i="2"/>
  <c r="CK79" i="2"/>
  <c r="CN79" i="2"/>
  <c r="CQ79" i="2"/>
  <c r="CR79" i="2"/>
  <c r="BL80" i="2"/>
  <c r="CA80" i="2"/>
  <c r="CG80" i="2"/>
  <c r="CH80" i="2"/>
  <c r="CJ80" i="2"/>
  <c r="CK80" i="2"/>
  <c r="CN80" i="2"/>
  <c r="CQ80" i="2"/>
  <c r="CR80" i="2"/>
  <c r="BL81" i="2"/>
  <c r="CA81" i="2"/>
  <c r="CG81" i="2"/>
  <c r="CH81" i="2"/>
  <c r="CJ81" i="2"/>
  <c r="CK81" i="2"/>
  <c r="CN81" i="2"/>
  <c r="CQ81" i="2"/>
  <c r="CR81" i="2"/>
  <c r="BL82" i="2"/>
  <c r="CA82" i="2"/>
  <c r="CG82" i="2"/>
  <c r="CH82" i="2"/>
  <c r="CJ82" i="2"/>
  <c r="CK82" i="2"/>
  <c r="CN82" i="2"/>
  <c r="CQ82" i="2"/>
  <c r="CR82" i="2"/>
  <c r="BL83" i="2"/>
  <c r="BM83" i="2"/>
  <c r="BO83" i="2"/>
  <c r="BP83" i="2"/>
  <c r="BQ83" i="2"/>
  <c r="BR83" i="2"/>
  <c r="BS83" i="2"/>
  <c r="CA83" i="2"/>
  <c r="CG83" i="2"/>
  <c r="CH83" i="2"/>
  <c r="CJ83" i="2"/>
  <c r="CK83" i="2"/>
  <c r="CN83" i="2"/>
  <c r="CQ83" i="2"/>
  <c r="CR83" i="2"/>
  <c r="BL84" i="2"/>
  <c r="BM84" i="2"/>
  <c r="BO84" i="2"/>
  <c r="BP84" i="2"/>
  <c r="BQ84" i="2"/>
  <c r="BR84" i="2"/>
  <c r="BS84" i="2"/>
  <c r="CA84" i="2"/>
  <c r="CG84" i="2"/>
  <c r="CH84" i="2"/>
  <c r="CJ84" i="2"/>
  <c r="CK84" i="2"/>
  <c r="CN84" i="2"/>
  <c r="CQ84" i="2"/>
  <c r="CR84" i="2"/>
  <c r="BL85" i="2"/>
  <c r="BM85" i="2"/>
  <c r="BO85" i="2"/>
  <c r="BP85" i="2"/>
  <c r="BQ85" i="2"/>
  <c r="BR85" i="2"/>
  <c r="BS85" i="2"/>
  <c r="CA85" i="2"/>
  <c r="CG85" i="2"/>
  <c r="CH85" i="2"/>
  <c r="CJ85" i="2"/>
  <c r="CK85" i="2"/>
  <c r="CN85" i="2"/>
  <c r="CQ85" i="2"/>
  <c r="CR85" i="2"/>
  <c r="BL86" i="2"/>
  <c r="BM86" i="2"/>
  <c r="BO86" i="2"/>
  <c r="BP86" i="2"/>
  <c r="BQ86" i="2"/>
  <c r="BR86" i="2"/>
  <c r="BS86" i="2"/>
  <c r="CA86" i="2"/>
  <c r="CG86" i="2"/>
  <c r="CH86" i="2"/>
  <c r="CJ86" i="2"/>
  <c r="CK86" i="2"/>
  <c r="CN86" i="2"/>
  <c r="CQ86" i="2"/>
  <c r="CR86" i="2"/>
  <c r="BL87" i="2"/>
  <c r="BM87" i="2"/>
  <c r="BO87" i="2"/>
  <c r="BP87" i="2"/>
  <c r="BQ87" i="2"/>
  <c r="BR87" i="2"/>
  <c r="BS87" i="2"/>
  <c r="CA87" i="2"/>
  <c r="CG87" i="2"/>
  <c r="CH87" i="2"/>
  <c r="CJ87" i="2"/>
  <c r="CK87" i="2"/>
  <c r="CN87" i="2"/>
  <c r="CQ87" i="2"/>
  <c r="CR87" i="2"/>
  <c r="BL88" i="2"/>
  <c r="BM88" i="2"/>
  <c r="BO88" i="2"/>
  <c r="BP88" i="2"/>
  <c r="BQ88" i="2"/>
  <c r="BR88" i="2"/>
  <c r="BS88" i="2"/>
  <c r="CA88" i="2"/>
  <c r="CG88" i="2"/>
  <c r="CH88" i="2"/>
  <c r="CJ88" i="2"/>
  <c r="CK88" i="2"/>
  <c r="CN88" i="2"/>
  <c r="CQ88" i="2"/>
  <c r="CR88" i="2"/>
  <c r="BL89" i="2"/>
  <c r="BM89" i="2"/>
  <c r="BO89" i="2"/>
  <c r="BP89" i="2"/>
  <c r="BQ89" i="2"/>
  <c r="BR89" i="2"/>
  <c r="BS89" i="2"/>
  <c r="CA89" i="2"/>
  <c r="CG89" i="2"/>
  <c r="CH89" i="2"/>
  <c r="CJ89" i="2"/>
  <c r="CK89" i="2"/>
  <c r="CN89" i="2"/>
  <c r="CQ89" i="2"/>
  <c r="CR89" i="2"/>
  <c r="BL90" i="2"/>
  <c r="BM90" i="2"/>
  <c r="BO90" i="2"/>
  <c r="BP90" i="2"/>
  <c r="BQ90" i="2"/>
  <c r="BR90" i="2"/>
  <c r="BS90" i="2"/>
  <c r="CA90" i="2"/>
  <c r="CG90" i="2"/>
  <c r="CH90" i="2"/>
  <c r="CJ90" i="2"/>
  <c r="CK90" i="2"/>
  <c r="CN90" i="2"/>
  <c r="CQ90" i="2"/>
  <c r="CR90" i="2"/>
  <c r="BL91" i="2"/>
  <c r="BM91" i="2"/>
  <c r="BO91" i="2"/>
  <c r="BP91" i="2"/>
  <c r="BQ91" i="2"/>
  <c r="BR91" i="2"/>
  <c r="BS91" i="2"/>
  <c r="CA91" i="2"/>
  <c r="CG91" i="2"/>
  <c r="CH91" i="2"/>
  <c r="CJ91" i="2"/>
  <c r="CK91" i="2"/>
  <c r="CN91" i="2"/>
  <c r="CQ91" i="2"/>
  <c r="CR91" i="2"/>
  <c r="BL92" i="2"/>
  <c r="BM92" i="2"/>
  <c r="BO92" i="2"/>
  <c r="BP92" i="2"/>
  <c r="BQ92" i="2"/>
  <c r="BR92" i="2"/>
  <c r="BS92" i="2"/>
  <c r="CA92" i="2"/>
  <c r="CG92" i="2"/>
  <c r="CH92" i="2"/>
  <c r="CJ92" i="2"/>
  <c r="CK92" i="2"/>
  <c r="CN92" i="2"/>
  <c r="CQ92" i="2"/>
  <c r="CR92" i="2"/>
  <c r="BL93" i="2"/>
  <c r="BM93" i="2"/>
  <c r="BO93" i="2"/>
  <c r="BP93" i="2"/>
  <c r="BQ93" i="2"/>
  <c r="BR93" i="2"/>
  <c r="BS93" i="2"/>
  <c r="CA93" i="2"/>
  <c r="CG93" i="2"/>
  <c r="CH93" i="2"/>
  <c r="CJ93" i="2"/>
  <c r="CK93" i="2"/>
  <c r="CN93" i="2"/>
  <c r="CQ93" i="2"/>
  <c r="CR93" i="2"/>
  <c r="BL94" i="2"/>
  <c r="BM94" i="2"/>
  <c r="BO94" i="2"/>
  <c r="BP94" i="2"/>
  <c r="BQ94" i="2"/>
  <c r="BR94" i="2"/>
  <c r="BS94" i="2"/>
  <c r="CA94" i="2"/>
  <c r="CG94" i="2"/>
  <c r="CH94" i="2"/>
  <c r="CJ94" i="2"/>
  <c r="CK94" i="2"/>
  <c r="CN94" i="2"/>
  <c r="CQ94" i="2"/>
  <c r="CR94" i="2"/>
  <c r="BL95" i="2"/>
  <c r="BM95" i="2"/>
  <c r="BO95" i="2"/>
  <c r="BP95" i="2"/>
  <c r="BQ95" i="2"/>
  <c r="BR95" i="2"/>
  <c r="BS95" i="2"/>
  <c r="CA95" i="2"/>
  <c r="CG95" i="2"/>
  <c r="CH95" i="2"/>
  <c r="CJ95" i="2"/>
  <c r="CK95" i="2"/>
  <c r="CN95" i="2"/>
  <c r="CQ95" i="2"/>
  <c r="CR95" i="2"/>
  <c r="BL96" i="2"/>
  <c r="BM96" i="2"/>
  <c r="BO96" i="2"/>
  <c r="BP96" i="2"/>
  <c r="BQ96" i="2"/>
  <c r="BR96" i="2"/>
  <c r="BS96" i="2"/>
  <c r="CA96" i="2"/>
  <c r="CG96" i="2"/>
  <c r="CH96" i="2"/>
  <c r="CJ96" i="2"/>
  <c r="CK96" i="2"/>
  <c r="CN96" i="2"/>
  <c r="CQ96" i="2"/>
  <c r="CR96" i="2"/>
  <c r="BL97" i="2"/>
  <c r="BM97" i="2"/>
  <c r="BO97" i="2"/>
  <c r="BP97" i="2"/>
  <c r="BQ97" i="2"/>
  <c r="BR97" i="2"/>
  <c r="BS97" i="2"/>
  <c r="CA97" i="2"/>
  <c r="CG97" i="2"/>
  <c r="CH97" i="2"/>
  <c r="CJ97" i="2"/>
  <c r="CK97" i="2"/>
  <c r="CN97" i="2"/>
  <c r="CQ97" i="2"/>
  <c r="CR97" i="2"/>
  <c r="BL98" i="2"/>
  <c r="BM98" i="2"/>
  <c r="BO98" i="2"/>
  <c r="BP98" i="2"/>
  <c r="BQ98" i="2"/>
  <c r="BR98" i="2"/>
  <c r="BS98" i="2"/>
  <c r="CA98" i="2"/>
  <c r="CG98" i="2"/>
  <c r="CH98" i="2"/>
  <c r="CJ98" i="2"/>
  <c r="CK98" i="2"/>
  <c r="CN98" i="2"/>
  <c r="CQ98" i="2"/>
  <c r="CR98" i="2"/>
  <c r="BL99" i="2"/>
  <c r="BM99" i="2"/>
  <c r="BO99" i="2"/>
  <c r="BP99" i="2"/>
  <c r="BQ99" i="2"/>
  <c r="BR99" i="2"/>
  <c r="BS99" i="2"/>
  <c r="CA99" i="2"/>
  <c r="CG99" i="2"/>
  <c r="CH99" i="2"/>
  <c r="CJ99" i="2"/>
  <c r="CK99" i="2"/>
  <c r="CN99" i="2"/>
  <c r="CQ99" i="2"/>
  <c r="CR99" i="2"/>
  <c r="BL100" i="2"/>
  <c r="BM100" i="2"/>
  <c r="BO100" i="2"/>
  <c r="BP100" i="2"/>
  <c r="BQ100" i="2"/>
  <c r="BR100" i="2"/>
  <c r="BS100" i="2"/>
  <c r="CA100" i="2"/>
  <c r="CG100" i="2"/>
  <c r="CH100" i="2"/>
  <c r="CJ100" i="2"/>
  <c r="CK100" i="2"/>
  <c r="CN100" i="2"/>
  <c r="CQ100" i="2"/>
  <c r="CR100" i="2"/>
  <c r="BL101" i="2"/>
  <c r="BM101" i="2"/>
  <c r="BO101" i="2"/>
  <c r="BP101" i="2"/>
  <c r="BQ101" i="2"/>
  <c r="BR101" i="2"/>
  <c r="BS101" i="2"/>
  <c r="CA101" i="2"/>
  <c r="CG101" i="2"/>
  <c r="CH101" i="2"/>
  <c r="CJ101" i="2"/>
  <c r="CK101" i="2"/>
  <c r="CN101" i="2"/>
  <c r="CQ101" i="2"/>
  <c r="CR101" i="2"/>
  <c r="BL102" i="2"/>
  <c r="BM102" i="2"/>
  <c r="BO102" i="2"/>
  <c r="BP102" i="2"/>
  <c r="BQ102" i="2"/>
  <c r="BR102" i="2"/>
  <c r="BS102" i="2"/>
  <c r="CA102" i="2"/>
  <c r="CG102" i="2"/>
  <c r="CH102" i="2"/>
  <c r="CJ102" i="2"/>
  <c r="CK102" i="2"/>
  <c r="CN102" i="2"/>
  <c r="CQ102" i="2"/>
  <c r="CR102" i="2"/>
  <c r="A23" i="2"/>
  <c r="A24" i="2"/>
  <c r="BU24" i="2" s="1"/>
  <c r="A25" i="2"/>
  <c r="BU25" i="2" s="1"/>
  <c r="A26" i="2"/>
  <c r="A27" i="2"/>
  <c r="BV27" i="2" s="1"/>
  <c r="A28" i="2"/>
  <c r="BY28" i="2" s="1"/>
  <c r="A29" i="2"/>
  <c r="BY29" i="2" s="1"/>
  <c r="A31" i="2"/>
  <c r="A33" i="2"/>
  <c r="BY33" i="2" s="1"/>
  <c r="A34" i="2"/>
  <c r="A35" i="2"/>
  <c r="A37" i="2"/>
  <c r="A38" i="2"/>
  <c r="BU38" i="2" s="1"/>
  <c r="A39" i="2"/>
  <c r="BU39" i="2" s="1"/>
  <c r="A41" i="2"/>
  <c r="A42" i="2"/>
  <c r="BY42" i="2" s="1"/>
  <c r="A44" i="2"/>
  <c r="BW44" i="2" s="1"/>
  <c r="A45" i="2"/>
  <c r="BW45" i="2" s="1"/>
  <c r="A47" i="2"/>
  <c r="A48" i="2"/>
  <c r="BV48" i="2" s="1"/>
  <c r="A49" i="2"/>
  <c r="BV49" i="2" s="1"/>
  <c r="A50" i="2"/>
  <c r="A51" i="2"/>
  <c r="A52" i="2"/>
  <c r="BX52" i="2" s="1"/>
  <c r="A54" i="2"/>
  <c r="BU54" i="2" s="1"/>
  <c r="A55" i="2"/>
  <c r="BW55" i="2" s="1"/>
  <c r="A56" i="2"/>
  <c r="A57" i="2"/>
  <c r="A58" i="2"/>
  <c r="BY58" i="2" s="1"/>
  <c r="A59" i="2"/>
  <c r="BW59" i="2" s="1"/>
  <c r="A60" i="2"/>
  <c r="A61" i="2"/>
  <c r="BU61" i="2" s="1"/>
  <c r="A62" i="2"/>
  <c r="BW62" i="2" s="1"/>
  <c r="A63" i="2"/>
  <c r="BU63" i="2" s="1"/>
  <c r="A64" i="2"/>
  <c r="BU64" i="2" s="1"/>
  <c r="A65" i="2"/>
  <c r="A66" i="2"/>
  <c r="BX66" i="2" s="1"/>
  <c r="A69" i="2"/>
  <c r="BY69" i="2" s="1"/>
  <c r="A70" i="2"/>
  <c r="A71" i="2"/>
  <c r="A72" i="2"/>
  <c r="CF72" i="2" s="1"/>
  <c r="A73" i="2"/>
  <c r="BW73" i="2" s="1"/>
  <c r="A74" i="2"/>
  <c r="BY74" i="2" s="1"/>
  <c r="A75" i="2"/>
  <c r="A76" i="2"/>
  <c r="CD76" i="2" s="1"/>
  <c r="A77" i="2"/>
  <c r="CF77" i="2" s="1"/>
  <c r="A78" i="2"/>
  <c r="BU78" i="2" s="1"/>
  <c r="A79" i="2"/>
  <c r="BX79" i="2" s="1"/>
  <c r="A80" i="2"/>
  <c r="BY80" i="2" s="1"/>
  <c r="A81" i="2"/>
  <c r="BY81" i="2" s="1"/>
  <c r="BL24" i="2"/>
  <c r="BM24" i="2"/>
  <c r="CG24" i="2"/>
  <c r="CH24" i="2"/>
  <c r="CK24" i="2"/>
  <c r="CN24" i="2"/>
  <c r="CQ24" i="2"/>
  <c r="CR24" i="2"/>
  <c r="BL25" i="2"/>
  <c r="BM25" i="2"/>
  <c r="CG25" i="2"/>
  <c r="CH25" i="2"/>
  <c r="CK25" i="2"/>
  <c r="CN25" i="2"/>
  <c r="CQ25" i="2"/>
  <c r="CR25" i="2"/>
  <c r="BL26" i="2"/>
  <c r="BM26" i="2"/>
  <c r="CG26" i="2"/>
  <c r="CH26" i="2"/>
  <c r="CK26" i="2"/>
  <c r="CN26" i="2"/>
  <c r="CQ26" i="2"/>
  <c r="CR26" i="2"/>
  <c r="BL27" i="2"/>
  <c r="BM27" i="2"/>
  <c r="CG27" i="2"/>
  <c r="CH27" i="2"/>
  <c r="CK27" i="2"/>
  <c r="CN27" i="2"/>
  <c r="CQ27" i="2"/>
  <c r="CR27" i="2"/>
  <c r="BL28" i="2"/>
  <c r="BM28" i="2"/>
  <c r="CG28" i="2"/>
  <c r="CH28" i="2"/>
  <c r="CK28" i="2"/>
  <c r="CN28" i="2"/>
  <c r="CQ28" i="2"/>
  <c r="CR28" i="2"/>
  <c r="BL29" i="2"/>
  <c r="BM29" i="2"/>
  <c r="CG29" i="2"/>
  <c r="CH29" i="2"/>
  <c r="CK29" i="2"/>
  <c r="CN29" i="2"/>
  <c r="CQ29" i="2"/>
  <c r="CR29" i="2"/>
  <c r="AS25" i="4"/>
  <c r="AS26" i="4"/>
  <c r="AS27" i="4"/>
  <c r="AS28" i="4"/>
  <c r="AS29" i="4"/>
  <c r="AS30" i="4"/>
  <c r="AS31" i="4"/>
  <c r="AS32" i="4"/>
  <c r="AS33" i="4"/>
  <c r="AS34" i="4"/>
  <c r="AS35" i="4"/>
  <c r="AS36" i="4"/>
  <c r="AS37" i="4"/>
  <c r="AS39" i="4"/>
  <c r="AS40" i="4"/>
  <c r="AS41" i="4"/>
  <c r="AS42" i="4"/>
  <c r="AS43" i="4"/>
  <c r="AS44" i="4"/>
  <c r="AS45" i="4"/>
  <c r="AS47" i="4"/>
  <c r="AS48" i="4"/>
  <c r="AS49" i="4"/>
  <c r="AS50" i="4"/>
  <c r="AS52" i="4"/>
  <c r="AS53" i="4"/>
  <c r="AS54" i="4"/>
  <c r="AS55" i="4"/>
  <c r="AS57" i="4"/>
  <c r="AS58" i="4"/>
  <c r="AS59" i="4"/>
  <c r="AS60" i="4"/>
  <c r="AS61" i="4"/>
  <c r="AS62" i="4"/>
  <c r="AS63" i="4"/>
  <c r="AS64" i="4"/>
  <c r="AS65" i="4"/>
  <c r="AS66" i="4"/>
  <c r="AS67" i="4"/>
  <c r="AS68" i="4"/>
  <c r="AS69" i="4"/>
  <c r="AS70" i="4"/>
  <c r="AS71" i="4"/>
  <c r="AS72" i="4"/>
  <c r="AS73" i="4"/>
  <c r="AS74" i="4"/>
  <c r="AS75" i="4"/>
  <c r="AS76" i="4"/>
  <c r="AS77" i="4"/>
  <c r="AS78" i="4"/>
  <c r="AS79" i="4"/>
  <c r="AS80" i="4"/>
  <c r="AS81" i="4"/>
  <c r="AS82" i="4"/>
  <c r="AS83" i="4"/>
  <c r="AS84" i="4"/>
  <c r="AS85" i="4"/>
  <c r="AS86" i="4"/>
  <c r="AS88" i="4"/>
  <c r="AS89" i="4"/>
  <c r="AS92" i="4"/>
  <c r="AS93" i="4"/>
  <c r="AS95" i="4"/>
  <c r="AS96" i="4"/>
  <c r="AS97" i="4"/>
  <c r="AS98" i="4"/>
  <c r="AS99" i="4"/>
  <c r="AS24" i="4"/>
  <c r="AU39" i="4"/>
  <c r="AU40" i="4"/>
  <c r="AU41" i="4"/>
  <c r="AU42" i="4"/>
  <c r="AU43" i="4"/>
  <c r="AU44" i="4"/>
  <c r="AU45" i="4"/>
  <c r="AU47" i="4"/>
  <c r="AU48" i="4"/>
  <c r="AU49" i="4"/>
  <c r="AU50" i="4"/>
  <c r="AU52" i="4"/>
  <c r="AU53" i="4"/>
  <c r="AU54" i="4"/>
  <c r="AU55" i="4"/>
  <c r="AU57" i="4"/>
  <c r="AU58" i="4"/>
  <c r="AU59" i="4"/>
  <c r="AU60" i="4"/>
  <c r="AU61" i="4"/>
  <c r="AU62" i="4"/>
  <c r="AU63" i="4"/>
  <c r="AU64" i="4"/>
  <c r="AU65" i="4"/>
  <c r="AU66" i="4"/>
  <c r="AU67" i="4"/>
  <c r="AU68" i="4"/>
  <c r="AU69" i="4"/>
  <c r="AU70" i="4"/>
  <c r="AU71" i="4"/>
  <c r="AU72" i="4"/>
  <c r="AU73" i="4"/>
  <c r="AU74" i="4"/>
  <c r="AU75" i="4"/>
  <c r="AU76" i="4"/>
  <c r="AU77" i="4"/>
  <c r="AU78" i="4"/>
  <c r="AU79" i="4"/>
  <c r="AU80" i="4"/>
  <c r="AU81" i="4"/>
  <c r="AU82" i="4"/>
  <c r="AU83" i="4"/>
  <c r="AU84" i="4"/>
  <c r="AU85" i="4"/>
  <c r="AU86" i="4"/>
  <c r="AU88" i="4"/>
  <c r="AU89" i="4"/>
  <c r="AU92" i="4"/>
  <c r="AU93" i="4"/>
  <c r="AU95" i="4"/>
  <c r="AU96" i="4"/>
  <c r="AU97" i="4"/>
  <c r="AU98" i="4"/>
  <c r="AU99" i="4"/>
  <c r="AU25" i="4"/>
  <c r="AU26" i="4"/>
  <c r="AU27" i="4"/>
  <c r="AU28" i="4"/>
  <c r="AU29" i="4"/>
  <c r="AU30" i="4"/>
  <c r="AU31" i="4"/>
  <c r="AU32" i="4"/>
  <c r="AU33" i="4"/>
  <c r="AU34" i="4"/>
  <c r="AU35" i="4"/>
  <c r="AU36" i="4"/>
  <c r="AU37" i="4"/>
  <c r="AU24" i="4"/>
  <c r="AR36" i="4"/>
  <c r="AR37" i="4"/>
  <c r="AR39" i="4"/>
  <c r="AR40" i="4"/>
  <c r="AR41" i="4"/>
  <c r="AR42" i="4"/>
  <c r="AR43" i="4"/>
  <c r="AR44" i="4"/>
  <c r="AR45" i="4"/>
  <c r="AR47" i="4"/>
  <c r="AR48" i="4"/>
  <c r="AR49" i="4"/>
  <c r="AR50" i="4"/>
  <c r="AR52" i="4"/>
  <c r="AR53" i="4"/>
  <c r="AR54" i="4"/>
  <c r="AR55" i="4"/>
  <c r="AR57" i="4"/>
  <c r="AR58" i="4"/>
  <c r="AR59" i="4"/>
  <c r="AR60" i="4"/>
  <c r="AR61" i="4"/>
  <c r="AR62" i="4"/>
  <c r="AR63" i="4"/>
  <c r="AR64" i="4"/>
  <c r="AR65" i="4"/>
  <c r="AR66" i="4"/>
  <c r="AR67" i="4"/>
  <c r="AR68" i="4"/>
  <c r="AR69" i="4"/>
  <c r="AR70" i="4"/>
  <c r="AR71" i="4"/>
  <c r="AR72" i="4"/>
  <c r="AR73" i="4"/>
  <c r="AR74" i="4"/>
  <c r="AR75" i="4"/>
  <c r="AR76" i="4"/>
  <c r="AR77" i="4"/>
  <c r="AR78" i="4"/>
  <c r="AR79" i="4"/>
  <c r="AR80" i="4"/>
  <c r="AR81" i="4"/>
  <c r="AR82" i="4"/>
  <c r="AR83" i="4"/>
  <c r="AR84" i="4"/>
  <c r="AR85" i="4"/>
  <c r="AR86" i="4"/>
  <c r="AR88" i="4"/>
  <c r="AR89" i="4"/>
  <c r="AR92" i="4"/>
  <c r="AR93" i="4"/>
  <c r="AR95" i="4"/>
  <c r="AR96" i="4"/>
  <c r="AR97" i="4"/>
  <c r="AR98" i="4"/>
  <c r="AR99" i="4"/>
  <c r="AR25" i="4"/>
  <c r="AR26" i="4"/>
  <c r="AR27" i="4"/>
  <c r="AR28" i="4"/>
  <c r="AR29" i="4"/>
  <c r="AR30" i="4"/>
  <c r="AR31" i="4"/>
  <c r="AR32" i="4"/>
  <c r="AR33" i="4"/>
  <c r="AR34" i="4"/>
  <c r="AR35" i="4"/>
  <c r="AR24" i="4"/>
  <c r="AM43" i="4"/>
  <c r="AN43" i="4" s="1"/>
  <c r="AM58" i="4"/>
  <c r="AM63" i="4"/>
  <c r="AN63" i="4" s="1"/>
  <c r="AM74" i="4"/>
  <c r="AN74" i="4" s="1"/>
  <c r="AM78" i="4"/>
  <c r="AN78" i="4" s="1"/>
  <c r="AM80" i="4"/>
  <c r="AN80" i="4" s="1"/>
  <c r="AM95" i="4"/>
  <c r="X77" i="4"/>
  <c r="X76" i="4"/>
  <c r="AE76" i="4" s="1"/>
  <c r="X73" i="4"/>
  <c r="X64" i="4"/>
  <c r="X57" i="4"/>
  <c r="X52" i="4"/>
  <c r="X47" i="4"/>
  <c r="X42" i="4"/>
  <c r="X41" i="4"/>
  <c r="X25" i="4"/>
  <c r="Y25" i="4" s="1"/>
  <c r="AN96" i="4"/>
  <c r="AN97" i="4"/>
  <c r="AN98" i="4"/>
  <c r="AN99" i="4"/>
  <c r="S99" i="4"/>
  <c r="S98" i="4"/>
  <c r="S97" i="4"/>
  <c r="S96" i="4"/>
  <c r="S95" i="4"/>
  <c r="S93" i="4"/>
  <c r="T93" i="4" s="1"/>
  <c r="S92" i="4"/>
  <c r="S89" i="4"/>
  <c r="T89" i="4" s="1"/>
  <c r="S88" i="4"/>
  <c r="S86" i="4"/>
  <c r="S85" i="4"/>
  <c r="T85" i="4" s="1"/>
  <c r="S84" i="4"/>
  <c r="S83" i="4"/>
  <c r="S82" i="4"/>
  <c r="S81" i="4"/>
  <c r="S80" i="4"/>
  <c r="S79" i="4"/>
  <c r="S78" i="4"/>
  <c r="S75" i="4"/>
  <c r="S72" i="4"/>
  <c r="S71" i="4"/>
  <c r="S70" i="4"/>
  <c r="T70" i="4" s="1"/>
  <c r="S69" i="4"/>
  <c r="T69" i="4" s="1"/>
  <c r="S68" i="4"/>
  <c r="T68" i="4" s="1"/>
  <c r="S67" i="4"/>
  <c r="T67" i="4" s="1"/>
  <c r="S66" i="4"/>
  <c r="S65" i="4"/>
  <c r="S62" i="4"/>
  <c r="V62" i="4" s="1"/>
  <c r="S61" i="4"/>
  <c r="S60" i="4"/>
  <c r="S59" i="4"/>
  <c r="V59" i="4" s="1"/>
  <c r="S55" i="4"/>
  <c r="S54" i="4"/>
  <c r="V54" i="4" s="1"/>
  <c r="S50" i="4"/>
  <c r="S49" i="4"/>
  <c r="V49" i="4" s="1"/>
  <c r="S45" i="4"/>
  <c r="S44" i="4"/>
  <c r="V44" i="4" s="1"/>
  <c r="S40" i="4"/>
  <c r="V40" i="4" s="1"/>
  <c r="S29" i="4"/>
  <c r="V29" i="4" s="1"/>
  <c r="S30" i="4"/>
  <c r="V30" i="4" s="1"/>
  <c r="S31" i="4"/>
  <c r="V31" i="4" s="1"/>
  <c r="S32" i="4"/>
  <c r="V32" i="4" s="1"/>
  <c r="S33" i="4"/>
  <c r="V33" i="4" s="1"/>
  <c r="S34" i="4"/>
  <c r="V34" i="4" s="1"/>
  <c r="S35" i="4"/>
  <c r="V35" i="4" s="1"/>
  <c r="S36" i="4"/>
  <c r="V36" i="4" s="1"/>
  <c r="S37" i="4"/>
  <c r="S27" i="4"/>
  <c r="V27" i="4" s="1"/>
  <c r="S28" i="4"/>
  <c r="V28" i="4" s="1"/>
  <c r="S25" i="4"/>
  <c r="S26" i="4"/>
  <c r="V26" i="4" s="1"/>
  <c r="S24" i="4"/>
  <c r="V24" i="4" s="1"/>
  <c r="V25" i="4"/>
  <c r="V37" i="4"/>
  <c r="V39" i="4"/>
  <c r="V41" i="4"/>
  <c r="V42" i="4"/>
  <c r="V43" i="4"/>
  <c r="V45" i="4"/>
  <c r="V47" i="4"/>
  <c r="V50" i="4"/>
  <c r="V52" i="4"/>
  <c r="V55" i="4"/>
  <c r="V57" i="4"/>
  <c r="V58" i="4"/>
  <c r="V60" i="4"/>
  <c r="V61" i="4"/>
  <c r="V63" i="4"/>
  <c r="V64" i="4"/>
  <c r="V65" i="4"/>
  <c r="V66" i="4"/>
  <c r="V67" i="4"/>
  <c r="W67" i="4" s="1"/>
  <c r="V68" i="4"/>
  <c r="W68" i="4" s="1"/>
  <c r="V69" i="4"/>
  <c r="W69" i="4" s="1"/>
  <c r="V70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8" i="4"/>
  <c r="V89" i="4"/>
  <c r="W89" i="4" s="1"/>
  <c r="V92" i="4"/>
  <c r="V93" i="4"/>
  <c r="W93" i="4" s="1"/>
  <c r="V95" i="4"/>
  <c r="V96" i="4"/>
  <c r="V97" i="4"/>
  <c r="V98" i="4"/>
  <c r="V99" i="4"/>
  <c r="V100" i="4"/>
  <c r="AL43" i="4"/>
  <c r="AL58" i="4"/>
  <c r="AL63" i="4"/>
  <c r="AL74" i="4"/>
  <c r="AL78" i="4"/>
  <c r="AL80" i="4"/>
  <c r="AL95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9" i="4"/>
  <c r="AI40" i="4"/>
  <c r="AI41" i="4"/>
  <c r="AI42" i="4"/>
  <c r="AI43" i="4"/>
  <c r="AI44" i="4"/>
  <c r="AI45" i="4"/>
  <c r="AI47" i="4"/>
  <c r="AI49" i="4"/>
  <c r="AI50" i="4"/>
  <c r="AI52" i="4"/>
  <c r="AI54" i="4"/>
  <c r="AI55" i="4"/>
  <c r="AI57" i="4"/>
  <c r="AI58" i="4"/>
  <c r="AI59" i="4"/>
  <c r="AI60" i="4"/>
  <c r="AI61" i="4"/>
  <c r="AI62" i="4"/>
  <c r="AI63" i="4"/>
  <c r="AI64" i="4"/>
  <c r="AI65" i="4"/>
  <c r="AI66" i="4"/>
  <c r="AI67" i="4"/>
  <c r="AJ67" i="4" s="1"/>
  <c r="AI68" i="4"/>
  <c r="AJ68" i="4" s="1"/>
  <c r="AI69" i="4"/>
  <c r="AJ69" i="4" s="1"/>
  <c r="AI70" i="4"/>
  <c r="AJ70" i="4" s="1"/>
  <c r="AI72" i="4"/>
  <c r="AI73" i="4"/>
  <c r="AI74" i="4"/>
  <c r="AI75" i="4"/>
  <c r="AI76" i="4"/>
  <c r="AJ76" i="4" s="1"/>
  <c r="AI77" i="4"/>
  <c r="AI78" i="4"/>
  <c r="AI79" i="4"/>
  <c r="AI80" i="4"/>
  <c r="AI81" i="4"/>
  <c r="AI82" i="4"/>
  <c r="AI83" i="4"/>
  <c r="AI84" i="4"/>
  <c r="AI85" i="4"/>
  <c r="AJ85" i="4" s="1"/>
  <c r="AI86" i="4"/>
  <c r="AI88" i="4"/>
  <c r="AI89" i="4"/>
  <c r="AJ89" i="4" s="1"/>
  <c r="AI92" i="4"/>
  <c r="AI93" i="4"/>
  <c r="AJ93" i="4" s="1"/>
  <c r="AI95" i="4"/>
  <c r="AI96" i="4"/>
  <c r="AI97" i="4"/>
  <c r="AI98" i="4"/>
  <c r="AI99" i="4"/>
  <c r="AI24" i="4"/>
  <c r="AH71" i="4"/>
  <c r="AI71" i="4" s="1"/>
  <c r="AH53" i="4"/>
  <c r="AF53" i="4" s="1"/>
  <c r="AH48" i="4"/>
  <c r="AF48" i="4" s="1"/>
  <c r="AG25" i="4"/>
  <c r="AG26" i="4"/>
  <c r="AG27" i="4"/>
  <c r="AG28" i="4"/>
  <c r="AG29" i="4"/>
  <c r="AG30" i="4"/>
  <c r="AG31" i="4"/>
  <c r="AG32" i="4"/>
  <c r="AG33" i="4"/>
  <c r="AG34" i="4"/>
  <c r="AG35" i="4"/>
  <c r="AG36" i="4"/>
  <c r="AG37" i="4"/>
  <c r="AG39" i="4"/>
  <c r="AG40" i="4"/>
  <c r="AG41" i="4"/>
  <c r="AG42" i="4"/>
  <c r="AG43" i="4"/>
  <c r="AG44" i="4"/>
  <c r="AG45" i="4"/>
  <c r="AG47" i="4"/>
  <c r="AG49" i="4"/>
  <c r="AG50" i="4"/>
  <c r="AG52" i="4"/>
  <c r="AG54" i="4"/>
  <c r="AG55" i="4"/>
  <c r="AG57" i="4"/>
  <c r="AG58" i="4"/>
  <c r="AG59" i="4"/>
  <c r="AG60" i="4"/>
  <c r="AG61" i="4"/>
  <c r="AG62" i="4"/>
  <c r="AG63" i="4"/>
  <c r="AG64" i="4"/>
  <c r="AG65" i="4"/>
  <c r="AG66" i="4"/>
  <c r="AG67" i="4"/>
  <c r="AG68" i="4"/>
  <c r="AG69" i="4"/>
  <c r="AG70" i="4"/>
  <c r="AG72" i="4"/>
  <c r="AG73" i="4"/>
  <c r="AG74" i="4"/>
  <c r="AG75" i="4"/>
  <c r="AG76" i="4"/>
  <c r="AG77" i="4"/>
  <c r="AG78" i="4"/>
  <c r="AG79" i="4"/>
  <c r="AG80" i="4"/>
  <c r="AG81" i="4"/>
  <c r="AG82" i="4"/>
  <c r="AG83" i="4"/>
  <c r="AG84" i="4"/>
  <c r="AG85" i="4"/>
  <c r="AG86" i="4"/>
  <c r="AG88" i="4"/>
  <c r="AG89" i="4"/>
  <c r="AG92" i="4"/>
  <c r="AG93" i="4"/>
  <c r="AG95" i="4"/>
  <c r="AG96" i="4"/>
  <c r="AG97" i="4"/>
  <c r="AG98" i="4"/>
  <c r="AG99" i="4"/>
  <c r="AG24" i="4"/>
  <c r="AF54" i="4"/>
  <c r="AF55" i="4"/>
  <c r="AF57" i="4"/>
  <c r="AF58" i="4"/>
  <c r="AF59" i="4"/>
  <c r="AF60" i="4"/>
  <c r="AF61" i="4"/>
  <c r="AF62" i="4"/>
  <c r="AF63" i="4"/>
  <c r="AF64" i="4"/>
  <c r="AF65" i="4"/>
  <c r="AF66" i="4"/>
  <c r="AF67" i="4"/>
  <c r="AF68" i="4"/>
  <c r="AF69" i="4"/>
  <c r="AF70" i="4"/>
  <c r="AF72" i="4"/>
  <c r="AF73" i="4"/>
  <c r="AF74" i="4"/>
  <c r="AF75" i="4"/>
  <c r="AF76" i="4"/>
  <c r="AF77" i="4"/>
  <c r="AF78" i="4"/>
  <c r="AF79" i="4"/>
  <c r="AF80" i="4"/>
  <c r="AF81" i="4"/>
  <c r="AF82" i="4"/>
  <c r="AF83" i="4"/>
  <c r="AF84" i="4"/>
  <c r="AF85" i="4"/>
  <c r="AF86" i="4"/>
  <c r="AF88" i="4"/>
  <c r="AF89" i="4"/>
  <c r="AF92" i="4"/>
  <c r="AF93" i="4"/>
  <c r="AF95" i="4"/>
  <c r="AF96" i="4"/>
  <c r="AF97" i="4"/>
  <c r="AF98" i="4"/>
  <c r="AF99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9" i="4"/>
  <c r="AF40" i="4"/>
  <c r="AF41" i="4"/>
  <c r="AF42" i="4"/>
  <c r="AF43" i="4"/>
  <c r="AF44" i="4"/>
  <c r="AF45" i="4"/>
  <c r="AF47" i="4"/>
  <c r="AF49" i="4"/>
  <c r="AF50" i="4"/>
  <c r="AF52" i="4"/>
  <c r="AF24" i="4"/>
  <c r="AD25" i="4"/>
  <c r="AD26" i="4"/>
  <c r="AD27" i="4"/>
  <c r="AD28" i="4"/>
  <c r="AD29" i="4"/>
  <c r="AD30" i="4"/>
  <c r="AD31" i="4"/>
  <c r="AD32" i="4"/>
  <c r="AD33" i="4"/>
  <c r="AD34" i="4"/>
  <c r="AD35" i="4"/>
  <c r="AD36" i="4"/>
  <c r="AD37" i="4"/>
  <c r="AD39" i="4"/>
  <c r="AD40" i="4"/>
  <c r="AD41" i="4"/>
  <c r="AD42" i="4"/>
  <c r="AD43" i="4"/>
  <c r="AD44" i="4"/>
  <c r="AD45" i="4"/>
  <c r="AD47" i="4"/>
  <c r="AD48" i="4"/>
  <c r="AD49" i="4"/>
  <c r="AD50" i="4"/>
  <c r="AD52" i="4"/>
  <c r="AD53" i="4"/>
  <c r="AD54" i="4"/>
  <c r="AD55" i="4"/>
  <c r="AD57" i="4"/>
  <c r="AD58" i="4"/>
  <c r="AD59" i="4"/>
  <c r="AD60" i="4"/>
  <c r="AD61" i="4"/>
  <c r="AD62" i="4"/>
  <c r="AD63" i="4"/>
  <c r="AD64" i="4"/>
  <c r="AD65" i="4"/>
  <c r="AD66" i="4"/>
  <c r="AD67" i="4"/>
  <c r="AD68" i="4"/>
  <c r="AD69" i="4"/>
  <c r="AD70" i="4"/>
  <c r="AD71" i="4"/>
  <c r="AD72" i="4"/>
  <c r="AD73" i="4"/>
  <c r="AD74" i="4"/>
  <c r="AD75" i="4"/>
  <c r="AD76" i="4"/>
  <c r="AD77" i="4"/>
  <c r="AD78" i="4"/>
  <c r="AD79" i="4"/>
  <c r="AD80" i="4"/>
  <c r="AD81" i="4"/>
  <c r="AD82" i="4"/>
  <c r="AD83" i="4"/>
  <c r="AD84" i="4"/>
  <c r="AD85" i="4"/>
  <c r="AD86" i="4"/>
  <c r="AD88" i="4"/>
  <c r="AD89" i="4"/>
  <c r="AD92" i="4"/>
  <c r="AD93" i="4"/>
  <c r="AD95" i="4"/>
  <c r="AD96" i="4"/>
  <c r="AD97" i="4"/>
  <c r="AD98" i="4"/>
  <c r="AD99" i="4"/>
  <c r="AD24" i="4"/>
  <c r="AB25" i="4"/>
  <c r="AB37" i="4"/>
  <c r="AB39" i="4"/>
  <c r="AB40" i="4"/>
  <c r="AB41" i="4"/>
  <c r="AB42" i="4"/>
  <c r="AB43" i="4"/>
  <c r="AB45" i="4"/>
  <c r="AB47" i="4"/>
  <c r="AB48" i="4"/>
  <c r="AB50" i="4"/>
  <c r="AB52" i="4"/>
  <c r="AB53" i="4"/>
  <c r="AB55" i="4"/>
  <c r="AB57" i="4"/>
  <c r="AB58" i="4"/>
  <c r="AB61" i="4"/>
  <c r="AB63" i="4"/>
  <c r="AB64" i="4"/>
  <c r="AB65" i="4"/>
  <c r="AB66" i="4"/>
  <c r="AB67" i="4"/>
  <c r="AB68" i="4"/>
  <c r="AB69" i="4"/>
  <c r="AB70" i="4"/>
  <c r="AB71" i="4"/>
  <c r="AB72" i="4"/>
  <c r="AB73" i="4"/>
  <c r="AB74" i="4"/>
  <c r="AB75" i="4"/>
  <c r="AB76" i="4"/>
  <c r="AB77" i="4"/>
  <c r="AB78" i="4"/>
  <c r="AB79" i="4"/>
  <c r="AB80" i="4"/>
  <c r="AB81" i="4"/>
  <c r="AB82" i="4"/>
  <c r="AB83" i="4"/>
  <c r="AB84" i="4"/>
  <c r="AB85" i="4"/>
  <c r="AB86" i="4"/>
  <c r="AB88" i="4"/>
  <c r="AB89" i="4"/>
  <c r="AB92" i="4"/>
  <c r="AB93" i="4"/>
  <c r="AB95" i="4"/>
  <c r="AB96" i="4"/>
  <c r="AB97" i="4"/>
  <c r="AB98" i="4"/>
  <c r="AB99" i="4"/>
  <c r="X26" i="4"/>
  <c r="AB26" i="4" s="1"/>
  <c r="X27" i="4"/>
  <c r="AB27" i="4" s="1"/>
  <c r="X28" i="4"/>
  <c r="AB28" i="4" s="1"/>
  <c r="X29" i="4"/>
  <c r="AB29" i="4" s="1"/>
  <c r="X30" i="4"/>
  <c r="AB30" i="4" s="1"/>
  <c r="X31" i="4"/>
  <c r="AB31" i="4" s="1"/>
  <c r="X32" i="4"/>
  <c r="AB32" i="4" s="1"/>
  <c r="X33" i="4"/>
  <c r="AB33" i="4" s="1"/>
  <c r="X34" i="4"/>
  <c r="AB34" i="4" s="1"/>
  <c r="X35" i="4"/>
  <c r="AB35" i="4" s="1"/>
  <c r="X36" i="4"/>
  <c r="AB36" i="4" s="1"/>
  <c r="X37" i="4"/>
  <c r="X40" i="4"/>
  <c r="X43" i="4"/>
  <c r="X44" i="4"/>
  <c r="AB44" i="4" s="1"/>
  <c r="X45" i="4"/>
  <c r="X48" i="4"/>
  <c r="X49" i="4"/>
  <c r="AB49" i="4" s="1"/>
  <c r="X50" i="4"/>
  <c r="X53" i="4"/>
  <c r="X54" i="4"/>
  <c r="AB54" i="4" s="1"/>
  <c r="X55" i="4"/>
  <c r="X58" i="4"/>
  <c r="X59" i="4"/>
  <c r="AB59" i="4" s="1"/>
  <c r="X60" i="4"/>
  <c r="AB60" i="4" s="1"/>
  <c r="X61" i="4"/>
  <c r="X62" i="4"/>
  <c r="AB62" i="4" s="1"/>
  <c r="X63" i="4"/>
  <c r="X65" i="4"/>
  <c r="X66" i="4"/>
  <c r="X67" i="4"/>
  <c r="AE67" i="4" s="1"/>
  <c r="X68" i="4"/>
  <c r="AE68" i="4" s="1"/>
  <c r="X69" i="4"/>
  <c r="AE69" i="4" s="1"/>
  <c r="X70" i="4"/>
  <c r="AE70" i="4" s="1"/>
  <c r="X71" i="4"/>
  <c r="X72" i="4"/>
  <c r="X74" i="4"/>
  <c r="X75" i="4"/>
  <c r="X78" i="4"/>
  <c r="X79" i="4"/>
  <c r="X80" i="4"/>
  <c r="X81" i="4"/>
  <c r="X82" i="4"/>
  <c r="X83" i="4"/>
  <c r="X84" i="4"/>
  <c r="X85" i="4"/>
  <c r="AE85" i="4" s="1"/>
  <c r="X86" i="4"/>
  <c r="X88" i="4"/>
  <c r="X89" i="4"/>
  <c r="AE89" i="4" s="1"/>
  <c r="X92" i="4"/>
  <c r="X93" i="4"/>
  <c r="AE93" i="4" s="1"/>
  <c r="X95" i="4"/>
  <c r="X96" i="4"/>
  <c r="AO96" i="4" s="1"/>
  <c r="X97" i="4"/>
  <c r="AO97" i="4" s="1"/>
  <c r="X98" i="4"/>
  <c r="AO98" i="4" s="1"/>
  <c r="X99" i="4"/>
  <c r="AO99" i="4" s="1"/>
  <c r="X100" i="4"/>
  <c r="X101" i="4"/>
  <c r="X24" i="4"/>
  <c r="Y24" i="4" s="1"/>
  <c r="S43" i="4"/>
  <c r="S48" i="4"/>
  <c r="S53" i="4"/>
  <c r="S58" i="4"/>
  <c r="S63" i="4"/>
  <c r="S74" i="4"/>
  <c r="S100" i="4"/>
  <c r="AX85" i="4"/>
  <c r="AK85" i="4"/>
  <c r="P85" i="4"/>
  <c r="Q85" i="4" s="1"/>
  <c r="I85" i="4"/>
  <c r="G85" i="4"/>
  <c r="D85" i="4"/>
  <c r="P78" i="4"/>
  <c r="P79" i="4"/>
  <c r="P80" i="4"/>
  <c r="P81" i="4"/>
  <c r="P82" i="4"/>
  <c r="P83" i="4"/>
  <c r="P88" i="4"/>
  <c r="P89" i="4"/>
  <c r="Q89" i="4" s="1"/>
  <c r="P92" i="4"/>
  <c r="P93" i="4"/>
  <c r="Q93" i="4" s="1"/>
  <c r="P95" i="4"/>
  <c r="P96" i="4"/>
  <c r="P97" i="4"/>
  <c r="P98" i="4"/>
  <c r="P99" i="4"/>
  <c r="P100" i="4"/>
  <c r="P66" i="4"/>
  <c r="P67" i="4"/>
  <c r="Q67" i="4" s="1"/>
  <c r="P68" i="4"/>
  <c r="Q68" i="4" s="1"/>
  <c r="P69" i="4"/>
  <c r="Q69" i="4" s="1"/>
  <c r="P70" i="4"/>
  <c r="Q70" i="4" s="1"/>
  <c r="P61" i="4"/>
  <c r="P62" i="4"/>
  <c r="P64" i="4"/>
  <c r="Q57" i="4"/>
  <c r="I57" i="4"/>
  <c r="P55" i="4"/>
  <c r="Q55" i="4" s="1"/>
  <c r="I55" i="4"/>
  <c r="P54" i="4"/>
  <c r="Q54" i="4" s="1"/>
  <c r="I54" i="4"/>
  <c r="P26" i="4"/>
  <c r="P27" i="4"/>
  <c r="AX93" i="4"/>
  <c r="AK93" i="4"/>
  <c r="I93" i="4"/>
  <c r="G93" i="4"/>
  <c r="D93" i="4"/>
  <c r="AX89" i="4"/>
  <c r="AK89" i="4"/>
  <c r="I89" i="4"/>
  <c r="G89" i="4"/>
  <c r="D89" i="4"/>
  <c r="AX76" i="4"/>
  <c r="AK76" i="4"/>
  <c r="AL76" i="4" s="1"/>
  <c r="T76" i="4"/>
  <c r="P76" i="4"/>
  <c r="Q76" i="4" s="1"/>
  <c r="I76" i="4"/>
  <c r="G76" i="4"/>
  <c r="D76" i="4"/>
  <c r="AX70" i="4"/>
  <c r="AK70" i="4"/>
  <c r="I70" i="4"/>
  <c r="G70" i="4"/>
  <c r="D70" i="4"/>
  <c r="AX69" i="4"/>
  <c r="AK69" i="4"/>
  <c r="AL69" i="4" s="1"/>
  <c r="I69" i="4"/>
  <c r="G69" i="4"/>
  <c r="D69" i="4"/>
  <c r="AX68" i="4"/>
  <c r="AK68" i="4"/>
  <c r="AL68" i="4" s="1"/>
  <c r="I68" i="4"/>
  <c r="G68" i="4"/>
  <c r="D68" i="4"/>
  <c r="AX67" i="4"/>
  <c r="AK67" i="4"/>
  <c r="AL67" i="4" s="1"/>
  <c r="I67" i="4"/>
  <c r="G67" i="4"/>
  <c r="D67" i="4"/>
  <c r="AK22" i="7" l="1"/>
  <c r="AU22" i="7" s="1"/>
  <c r="BK22" i="7" s="1"/>
  <c r="BM22" i="7"/>
  <c r="AK96" i="7"/>
  <c r="AU96" i="7" s="1"/>
  <c r="AW96" i="7" s="1"/>
  <c r="BM96" i="7"/>
  <c r="BF31" i="7"/>
  <c r="BI31" i="7" s="1"/>
  <c r="BM31" i="7"/>
  <c r="BF27" i="7"/>
  <c r="BI27" i="7" s="1"/>
  <c r="AK73" i="7"/>
  <c r="BM73" i="7"/>
  <c r="AK68" i="7"/>
  <c r="AU68" i="7" s="1"/>
  <c r="AW68" i="7" s="1"/>
  <c r="BM68" i="7"/>
  <c r="AK81" i="7"/>
  <c r="AU81" i="7" s="1"/>
  <c r="AW81" i="7" s="1"/>
  <c r="BM81" i="7"/>
  <c r="AW52" i="7"/>
  <c r="AK67" i="7"/>
  <c r="AU67" i="7" s="1"/>
  <c r="AW67" i="7" s="1"/>
  <c r="BM67" i="7"/>
  <c r="AZ52" i="7"/>
  <c r="BF25" i="7"/>
  <c r="BI25" i="7" s="1"/>
  <c r="BF26" i="7"/>
  <c r="BI26" i="7" s="1"/>
  <c r="AR42" i="7"/>
  <c r="AS42" i="7" s="1"/>
  <c r="BM42" i="7"/>
  <c r="AK83" i="7"/>
  <c r="AU83" i="7" s="1"/>
  <c r="AW83" i="7" s="1"/>
  <c r="BM83" i="7"/>
  <c r="AL90" i="7"/>
  <c r="AM95" i="7"/>
  <c r="BF30" i="7"/>
  <c r="BI30" i="7" s="1"/>
  <c r="BM30" i="7"/>
  <c r="AW58" i="7"/>
  <c r="BK58" i="7"/>
  <c r="BF33" i="7"/>
  <c r="BI33" i="7" s="1"/>
  <c r="BF22" i="7"/>
  <c r="AK66" i="7"/>
  <c r="AU66" i="7" s="1"/>
  <c r="AW66" i="7" s="1"/>
  <c r="BM66" i="7"/>
  <c r="BM38" i="7"/>
  <c r="BF38" i="7"/>
  <c r="BI38" i="7" s="1"/>
  <c r="AK77" i="7"/>
  <c r="AU77" i="7" s="1"/>
  <c r="AW77" i="7" s="1"/>
  <c r="BM77" i="7"/>
  <c r="BF35" i="7"/>
  <c r="BI35" i="7" s="1"/>
  <c r="BF28" i="7"/>
  <c r="BI28" i="7" s="1"/>
  <c r="AM22" i="7"/>
  <c r="BH69" i="7"/>
  <c r="BI69" i="7" s="1"/>
  <c r="AL97" i="7"/>
  <c r="AM94" i="7"/>
  <c r="AM90" i="7"/>
  <c r="AL69" i="7"/>
  <c r="AM69" i="7" s="1"/>
  <c r="AL53" i="7"/>
  <c r="AM53" i="7" s="1"/>
  <c r="AL89" i="7"/>
  <c r="AM89" i="7" s="1"/>
  <c r="AX23" i="6"/>
  <c r="AC36" i="6"/>
  <c r="AU27" i="6"/>
  <c r="AU23" i="6" s="1"/>
  <c r="AS27" i="6"/>
  <c r="AS23" i="6" s="1"/>
  <c r="AP23" i="6"/>
  <c r="AC53" i="6"/>
  <c r="AC28" i="6"/>
  <c r="AH23" i="6"/>
  <c r="AD6" i="6" s="1"/>
  <c r="X30" i="6"/>
  <c r="Z30" i="6" s="1"/>
  <c r="X31" i="6"/>
  <c r="Z31" i="6" s="1"/>
  <c r="X36" i="6"/>
  <c r="Z36" i="6" s="1"/>
  <c r="X35" i="6"/>
  <c r="Z35" i="6" s="1"/>
  <c r="X52" i="6"/>
  <c r="Z52" i="6" s="1"/>
  <c r="X42" i="6"/>
  <c r="Z42" i="6" s="1"/>
  <c r="X29" i="6"/>
  <c r="Z29" i="6" s="1"/>
  <c r="X48" i="6"/>
  <c r="Z48" i="6" s="1"/>
  <c r="X32" i="6"/>
  <c r="Z32" i="6" s="1"/>
  <c r="AC34" i="6"/>
  <c r="X37" i="6"/>
  <c r="Z37" i="6" s="1"/>
  <c r="X70" i="6"/>
  <c r="Z70" i="6" s="1"/>
  <c r="X45" i="6"/>
  <c r="Z45" i="6" s="1"/>
  <c r="X27" i="6"/>
  <c r="Z27" i="6" s="1"/>
  <c r="X33" i="6"/>
  <c r="Z33" i="6" s="1"/>
  <c r="X51" i="6"/>
  <c r="Z51" i="6" s="1"/>
  <c r="X38" i="6"/>
  <c r="Z38" i="6" s="1"/>
  <c r="X34" i="6"/>
  <c r="Z34" i="6" s="1"/>
  <c r="AZ60" i="7"/>
  <c r="AW60" i="7"/>
  <c r="AU73" i="7"/>
  <c r="AW73" i="7" s="1"/>
  <c r="AW34" i="7"/>
  <c r="AZ34" i="7"/>
  <c r="AW29" i="7"/>
  <c r="AZ29" i="7"/>
  <c r="AL83" i="7"/>
  <c r="AL43" i="7"/>
  <c r="AM43" i="7" s="1"/>
  <c r="AL59" i="7"/>
  <c r="AM59" i="7" s="1"/>
  <c r="AL75" i="7"/>
  <c r="AM75" i="7" s="1"/>
  <c r="AL26" i="7"/>
  <c r="AL42" i="7"/>
  <c r="AL58" i="7"/>
  <c r="AM58" i="7" s="1"/>
  <c r="AL74" i="7"/>
  <c r="AM74" i="7" s="1"/>
  <c r="AL41" i="7"/>
  <c r="AL57" i="7"/>
  <c r="AM57" i="7" s="1"/>
  <c r="AL73" i="7"/>
  <c r="AM73" i="7" s="1"/>
  <c r="AW32" i="7"/>
  <c r="AZ32" i="7"/>
  <c r="AO22" i="7"/>
  <c r="AR22" i="7"/>
  <c r="AL38" i="7"/>
  <c r="AL54" i="7"/>
  <c r="AM54" i="7" s="1"/>
  <c r="AL70" i="7"/>
  <c r="AM70" i="7" s="1"/>
  <c r="AL37" i="7"/>
  <c r="AM37" i="7" s="1"/>
  <c r="AM97" i="7"/>
  <c r="AL36" i="7"/>
  <c r="AM36" i="7" s="1"/>
  <c r="AL52" i="7"/>
  <c r="AM52" i="7" s="1"/>
  <c r="AL68" i="7"/>
  <c r="AM68" i="7" s="1"/>
  <c r="AL47" i="7"/>
  <c r="AM47" i="7" s="1"/>
  <c r="AL63" i="7"/>
  <c r="AM63" i="7" s="1"/>
  <c r="AL79" i="7"/>
  <c r="AM79" i="7" s="1"/>
  <c r="AL86" i="7"/>
  <c r="AM86" i="7" s="1"/>
  <c r="AK35" i="7"/>
  <c r="AU35" i="7" s="1"/>
  <c r="BK35" i="7" s="1"/>
  <c r="AO35" i="7"/>
  <c r="AL91" i="7"/>
  <c r="AM91" i="7" s="1"/>
  <c r="AL30" i="7"/>
  <c r="AL46" i="7"/>
  <c r="AM46" i="7" s="1"/>
  <c r="AL62" i="7"/>
  <c r="AM62" i="7" s="1"/>
  <c r="AL78" i="7"/>
  <c r="AM78" i="7" s="1"/>
  <c r="AL45" i="7"/>
  <c r="AM45" i="7" s="1"/>
  <c r="AL61" i="7"/>
  <c r="AM61" i="7" s="1"/>
  <c r="AL77" i="7"/>
  <c r="AM77" i="7" s="1"/>
  <c r="AK28" i="7"/>
  <c r="AU28" i="7" s="1"/>
  <c r="BK28" i="7" s="1"/>
  <c r="AO28" i="7"/>
  <c r="AL92" i="7"/>
  <c r="AM92" i="7" s="1"/>
  <c r="AL27" i="7"/>
  <c r="AO25" i="7"/>
  <c r="AK25" i="7"/>
  <c r="AU25" i="7" s="1"/>
  <c r="BK25" i="7" s="1"/>
  <c r="AL24" i="7"/>
  <c r="AM24" i="7" s="1"/>
  <c r="AL40" i="7"/>
  <c r="AM40" i="7" s="1"/>
  <c r="AL56" i="7"/>
  <c r="AM56" i="7" s="1"/>
  <c r="AL72" i="7"/>
  <c r="AM72" i="7" s="1"/>
  <c r="AK30" i="7"/>
  <c r="AU30" i="7" s="1"/>
  <c r="BK30" i="7" s="1"/>
  <c r="AO30" i="7"/>
  <c r="AK24" i="7"/>
  <c r="AU24" i="7" s="1"/>
  <c r="BK24" i="7" s="1"/>
  <c r="AO24" i="7"/>
  <c r="AK33" i="7"/>
  <c r="AU33" i="7" s="1"/>
  <c r="BK33" i="7" s="1"/>
  <c r="AO33" i="7"/>
  <c r="AL25" i="7"/>
  <c r="AL98" i="7"/>
  <c r="AM98" i="7" s="1"/>
  <c r="AL51" i="7"/>
  <c r="AM51" i="7" s="1"/>
  <c r="AL67" i="7"/>
  <c r="AO27" i="7"/>
  <c r="AK27" i="7"/>
  <c r="AU27" i="7" s="1"/>
  <c r="BK27" i="7" s="1"/>
  <c r="AL35" i="7"/>
  <c r="AL85" i="7"/>
  <c r="AM85" i="7" s="1"/>
  <c r="AL28" i="7"/>
  <c r="AL44" i="7"/>
  <c r="AM44" i="7" s="1"/>
  <c r="AL60" i="7"/>
  <c r="AM60" i="7" s="1"/>
  <c r="AL76" i="7"/>
  <c r="AM76" i="7" s="1"/>
  <c r="AK38" i="7"/>
  <c r="AO38" i="7"/>
  <c r="AO31" i="7"/>
  <c r="AK31" i="7"/>
  <c r="AK42" i="7"/>
  <c r="AO42" i="7"/>
  <c r="AK26" i="7"/>
  <c r="AO26" i="7"/>
  <c r="AM41" i="7"/>
  <c r="AL29" i="7"/>
  <c r="AM29" i="7" s="1"/>
  <c r="AL55" i="7"/>
  <c r="AM55" i="7" s="1"/>
  <c r="AL71" i="7"/>
  <c r="AM71" i="7" s="1"/>
  <c r="AL87" i="7"/>
  <c r="AM87" i="7" s="1"/>
  <c r="AL34" i="7"/>
  <c r="AM34" i="7" s="1"/>
  <c r="AL50" i="7"/>
  <c r="AM50" i="7" s="1"/>
  <c r="AL66" i="7"/>
  <c r="AM66" i="7" s="1"/>
  <c r="AL82" i="7"/>
  <c r="AM82" i="7" s="1"/>
  <c r="AL84" i="7"/>
  <c r="AM84" i="7" s="1"/>
  <c r="AM39" i="7"/>
  <c r="AL88" i="7"/>
  <c r="AM88" i="7" s="1"/>
  <c r="AL33" i="7"/>
  <c r="AL49" i="7"/>
  <c r="AM49" i="7" s="1"/>
  <c r="AL65" i="7"/>
  <c r="AM65" i="7" s="1"/>
  <c r="AL81" i="7"/>
  <c r="AM81" i="7" s="1"/>
  <c r="AL23" i="7"/>
  <c r="AM23" i="7" s="1"/>
  <c r="AL96" i="7"/>
  <c r="AM96" i="7" s="1"/>
  <c r="AL32" i="7"/>
  <c r="AM32" i="7" s="1"/>
  <c r="AL48" i="7"/>
  <c r="AM48" i="7" s="1"/>
  <c r="AL64" i="7"/>
  <c r="AM64" i="7" s="1"/>
  <c r="AL80" i="7"/>
  <c r="AM80" i="7" s="1"/>
  <c r="K32" i="6"/>
  <c r="V69" i="6"/>
  <c r="V67" i="6"/>
  <c r="V28" i="6"/>
  <c r="V47" i="6"/>
  <c r="V46" i="6"/>
  <c r="K64" i="6"/>
  <c r="V64" i="6"/>
  <c r="K50" i="6"/>
  <c r="V50" i="6"/>
  <c r="V43" i="6"/>
  <c r="V49" i="6"/>
  <c r="V62" i="6"/>
  <c r="AC44" i="6"/>
  <c r="V63" i="6"/>
  <c r="V71" i="6"/>
  <c r="V53" i="6"/>
  <c r="V44" i="6"/>
  <c r="V68" i="6"/>
  <c r="AC41" i="6"/>
  <c r="AC49" i="6"/>
  <c r="AC45" i="6"/>
  <c r="AC54" i="6"/>
  <c r="AC48" i="6"/>
  <c r="AC56" i="6"/>
  <c r="K40" i="6"/>
  <c r="AC60" i="6"/>
  <c r="AC46" i="6"/>
  <c r="AC31" i="6"/>
  <c r="AC47" i="6"/>
  <c r="AC63" i="6"/>
  <c r="AC29" i="6"/>
  <c r="AC61" i="6"/>
  <c r="AC55" i="6"/>
  <c r="AC78" i="6"/>
  <c r="AC51" i="6"/>
  <c r="AC59" i="6"/>
  <c r="AC52" i="6"/>
  <c r="AC42" i="6"/>
  <c r="AC39" i="6"/>
  <c r="AC69" i="6"/>
  <c r="AC32" i="6"/>
  <c r="AC50" i="6"/>
  <c r="AC35" i="6"/>
  <c r="AC43" i="6"/>
  <c r="AC37" i="6"/>
  <c r="AC66" i="6"/>
  <c r="AC30" i="6"/>
  <c r="AC38" i="6"/>
  <c r="AC62" i="6"/>
  <c r="AC40" i="6"/>
  <c r="AC64" i="6"/>
  <c r="J20" i="6"/>
  <c r="AC33" i="6"/>
  <c r="AC57" i="6"/>
  <c r="AC58" i="6"/>
  <c r="AC71" i="6"/>
  <c r="AC68" i="6"/>
  <c r="AC72" i="6"/>
  <c r="AC73" i="6"/>
  <c r="AC65" i="6"/>
  <c r="AF20" i="6"/>
  <c r="AC79" i="6"/>
  <c r="AC75" i="6"/>
  <c r="AC80" i="6"/>
  <c r="AC81" i="6"/>
  <c r="AC77" i="6"/>
  <c r="AC76" i="6"/>
  <c r="AC67" i="6"/>
  <c r="AC70" i="6"/>
  <c r="AC74" i="6"/>
  <c r="AG23" i="6"/>
  <c r="AC6" i="6" s="1"/>
  <c r="AB20" i="6"/>
  <c r="BD67" i="2"/>
  <c r="AN67" i="2"/>
  <c r="AU67" i="2"/>
  <c r="AV67" i="2"/>
  <c r="BE67" i="2" s="1"/>
  <c r="CL80" i="2"/>
  <c r="CM80" i="2" s="1"/>
  <c r="CO80" i="2" s="1"/>
  <c r="CP80" i="2" s="1"/>
  <c r="CT80" i="2" s="1"/>
  <c r="CU80" i="2" s="1"/>
  <c r="CL72" i="2"/>
  <c r="CM72" i="2" s="1"/>
  <c r="CO72" i="2" s="1"/>
  <c r="CP72" i="2" s="1"/>
  <c r="CT72" i="2" s="1"/>
  <c r="CU72" i="2" s="1"/>
  <c r="AO94" i="4"/>
  <c r="AP94" i="4" s="1"/>
  <c r="AN94" i="4"/>
  <c r="AO91" i="4"/>
  <c r="AP91" i="4" s="1"/>
  <c r="AN91" i="4"/>
  <c r="Y76" i="4"/>
  <c r="AO87" i="4"/>
  <c r="AP87" i="4" s="1"/>
  <c r="AN87" i="4"/>
  <c r="BN67" i="2"/>
  <c r="T24" i="4"/>
  <c r="AR23" i="4"/>
  <c r="AS23" i="4"/>
  <c r="AO78" i="4"/>
  <c r="AU23" i="4"/>
  <c r="BX28" i="2"/>
  <c r="BW25" i="2"/>
  <c r="CL87" i="2"/>
  <c r="CM87" i="2" s="1"/>
  <c r="CO87" i="2" s="1"/>
  <c r="CP87" i="2" s="1"/>
  <c r="CT87" i="2" s="1"/>
  <c r="CU87" i="2" s="1"/>
  <c r="CL86" i="2"/>
  <c r="CM86" i="2" s="1"/>
  <c r="BY27" i="2"/>
  <c r="BX27" i="2"/>
  <c r="BU27" i="2"/>
  <c r="BU28" i="2"/>
  <c r="CL97" i="2"/>
  <c r="CM97" i="2" s="1"/>
  <c r="CO97" i="2" s="1"/>
  <c r="CP97" i="2" s="1"/>
  <c r="CT97" i="2" s="1"/>
  <c r="CU97" i="2" s="1"/>
  <c r="CL84" i="2"/>
  <c r="CM84" i="2" s="1"/>
  <c r="CO84" i="2" s="1"/>
  <c r="CP84" i="2" s="1"/>
  <c r="CT84" i="2" s="1"/>
  <c r="CU84" i="2" s="1"/>
  <c r="BW28" i="2"/>
  <c r="BV28" i="2"/>
  <c r="CL101" i="2"/>
  <c r="CM101" i="2" s="1"/>
  <c r="CO101" i="2" s="1"/>
  <c r="CP101" i="2" s="1"/>
  <c r="CT101" i="2" s="1"/>
  <c r="CU101" i="2" s="1"/>
  <c r="CL79" i="2"/>
  <c r="CM79" i="2" s="1"/>
  <c r="CO79" i="2" s="1"/>
  <c r="CP79" i="2" s="1"/>
  <c r="CT79" i="2" s="1"/>
  <c r="CU79" i="2" s="1"/>
  <c r="BV25" i="2"/>
  <c r="CL81" i="2"/>
  <c r="CM81" i="2" s="1"/>
  <c r="CO81" i="2" s="1"/>
  <c r="CP81" i="2" s="1"/>
  <c r="CT81" i="2" s="1"/>
  <c r="CU81" i="2" s="1"/>
  <c r="BX80" i="2"/>
  <c r="BU80" i="2"/>
  <c r="BV62" i="2"/>
  <c r="CB72" i="2"/>
  <c r="CB81" i="2"/>
  <c r="CL95" i="2"/>
  <c r="CM95" i="2" s="1"/>
  <c r="CO95" i="2" s="1"/>
  <c r="CP95" i="2" s="1"/>
  <c r="CT95" i="2" s="1"/>
  <c r="CU95" i="2" s="1"/>
  <c r="BX72" i="2"/>
  <c r="CC80" i="2"/>
  <c r="BU72" i="2"/>
  <c r="CB80" i="2"/>
  <c r="BW27" i="2"/>
  <c r="CO86" i="2"/>
  <c r="CP86" i="2" s="1"/>
  <c r="CT86" i="2" s="1"/>
  <c r="CU86" i="2" s="1"/>
  <c r="CE77" i="2"/>
  <c r="BV76" i="2"/>
  <c r="BW64" i="2"/>
  <c r="BX59" i="2"/>
  <c r="CL83" i="2"/>
  <c r="CM83" i="2" s="1"/>
  <c r="CO83" i="2" s="1"/>
  <c r="CP83" i="2" s="1"/>
  <c r="CT83" i="2" s="1"/>
  <c r="CU83" i="2" s="1"/>
  <c r="CB77" i="2"/>
  <c r="CL76" i="2"/>
  <c r="CM76" i="2" s="1"/>
  <c r="BU76" i="2"/>
  <c r="CC72" i="2"/>
  <c r="BU66" i="2"/>
  <c r="BX63" i="2"/>
  <c r="CL78" i="2"/>
  <c r="CM78" i="2" s="1"/>
  <c r="CO78" i="2" s="1"/>
  <c r="CP78" i="2" s="1"/>
  <c r="CT78" i="2" s="1"/>
  <c r="CU78" i="2" s="1"/>
  <c r="CL73" i="2"/>
  <c r="CM73" i="2" s="1"/>
  <c r="CO73" i="2" s="1"/>
  <c r="CP73" i="2" s="1"/>
  <c r="CT73" i="2" s="1"/>
  <c r="CU73" i="2" s="1"/>
  <c r="BV63" i="2"/>
  <c r="CL96" i="2"/>
  <c r="CM96" i="2" s="1"/>
  <c r="CO96" i="2" s="1"/>
  <c r="CP96" i="2" s="1"/>
  <c r="CT96" i="2" s="1"/>
  <c r="CU96" i="2" s="1"/>
  <c r="CL88" i="2"/>
  <c r="CM88" i="2" s="1"/>
  <c r="CO88" i="2" s="1"/>
  <c r="CP88" i="2" s="1"/>
  <c r="CT88" i="2" s="1"/>
  <c r="CU88" i="2" s="1"/>
  <c r="BV77" i="2"/>
  <c r="CF76" i="2"/>
  <c r="BZ74" i="2"/>
  <c r="CL89" i="2"/>
  <c r="CM89" i="2" s="1"/>
  <c r="CO89" i="2" s="1"/>
  <c r="CP89" i="2" s="1"/>
  <c r="CT89" i="2" s="1"/>
  <c r="CU89" i="2" s="1"/>
  <c r="BZ76" i="2"/>
  <c r="CE73" i="2"/>
  <c r="BX38" i="2"/>
  <c r="BY76" i="2"/>
  <c r="BY75" i="2"/>
  <c r="BU75" i="2"/>
  <c r="CC75" i="2"/>
  <c r="BV75" i="2"/>
  <c r="CD75" i="2"/>
  <c r="CB75" i="2"/>
  <c r="BW75" i="2"/>
  <c r="BX75" i="2"/>
  <c r="BX57" i="2"/>
  <c r="BU57" i="2"/>
  <c r="BV57" i="2"/>
  <c r="BW57" i="2"/>
  <c r="BY57" i="2"/>
  <c r="BV37" i="2"/>
  <c r="BW37" i="2"/>
  <c r="BU37" i="2"/>
  <c r="BX37" i="2"/>
  <c r="BY37" i="2"/>
  <c r="BW26" i="2"/>
  <c r="BU26" i="2"/>
  <c r="BW61" i="2"/>
  <c r="BW74" i="2"/>
  <c r="CE74" i="2"/>
  <c r="BX74" i="2"/>
  <c r="CF74" i="2"/>
  <c r="BU74" i="2"/>
  <c r="BV74" i="2"/>
  <c r="CB74" i="2"/>
  <c r="CC74" i="2"/>
  <c r="BY64" i="2"/>
  <c r="BV64" i="2"/>
  <c r="BX64" i="2"/>
  <c r="BW56" i="2"/>
  <c r="BX56" i="2"/>
  <c r="BY56" i="2"/>
  <c r="BV56" i="2"/>
  <c r="BU56" i="2"/>
  <c r="BY47" i="2"/>
  <c r="BV47" i="2"/>
  <c r="BW47" i="2"/>
  <c r="BX47" i="2"/>
  <c r="BU47" i="2"/>
  <c r="BW35" i="2"/>
  <c r="BX35" i="2"/>
  <c r="BY35" i="2"/>
  <c r="BV35" i="2"/>
  <c r="BU35" i="2"/>
  <c r="BX25" i="2"/>
  <c r="BY25" i="2"/>
  <c r="BZ78" i="2"/>
  <c r="CD74" i="2"/>
  <c r="BW65" i="2"/>
  <c r="BU65" i="2"/>
  <c r="BV65" i="2"/>
  <c r="BX65" i="2"/>
  <c r="BY65" i="2"/>
  <c r="BU48" i="2"/>
  <c r="BY48" i="2"/>
  <c r="BW48" i="2"/>
  <c r="BX48" i="2"/>
  <c r="BV81" i="2"/>
  <c r="CD81" i="2"/>
  <c r="BZ81" i="2"/>
  <c r="BW81" i="2"/>
  <c r="BX81" i="2"/>
  <c r="CC81" i="2"/>
  <c r="CE81" i="2"/>
  <c r="BV73" i="2"/>
  <c r="CD73" i="2"/>
  <c r="BZ73" i="2"/>
  <c r="CB73" i="2"/>
  <c r="CC73" i="2"/>
  <c r="BX73" i="2"/>
  <c r="BY73" i="2"/>
  <c r="BY63" i="2"/>
  <c r="BW63" i="2"/>
  <c r="BV55" i="2"/>
  <c r="BU55" i="2"/>
  <c r="BX55" i="2"/>
  <c r="BY55" i="2"/>
  <c r="BY45" i="2"/>
  <c r="BU45" i="2"/>
  <c r="BV45" i="2"/>
  <c r="BU34" i="2"/>
  <c r="BV34" i="2"/>
  <c r="BY34" i="2"/>
  <c r="BW34" i="2"/>
  <c r="BX34" i="2"/>
  <c r="CL93" i="2"/>
  <c r="CM93" i="2" s="1"/>
  <c r="CO93" i="2" s="1"/>
  <c r="CP93" i="2" s="1"/>
  <c r="CT93" i="2" s="1"/>
  <c r="CU93" i="2" s="1"/>
  <c r="BU81" i="2"/>
  <c r="CF75" i="2"/>
  <c r="BU73" i="2"/>
  <c r="CE75" i="2"/>
  <c r="BX42" i="2"/>
  <c r="BU42" i="2"/>
  <c r="BV42" i="2"/>
  <c r="BW42" i="2"/>
  <c r="CL100" i="2"/>
  <c r="CM100" i="2" s="1"/>
  <c r="CO100" i="2" s="1"/>
  <c r="CP100" i="2" s="1"/>
  <c r="CT100" i="2" s="1"/>
  <c r="CU100" i="2" s="1"/>
  <c r="BV79" i="2"/>
  <c r="CD79" i="2"/>
  <c r="BZ79" i="2"/>
  <c r="BY79" i="2"/>
  <c r="BU79" i="2"/>
  <c r="CF79" i="2"/>
  <c r="BW79" i="2"/>
  <c r="BV71" i="2"/>
  <c r="BX71" i="2"/>
  <c r="BY71" i="2"/>
  <c r="BW52" i="2"/>
  <c r="BU52" i="2"/>
  <c r="BV52" i="2"/>
  <c r="BU31" i="2"/>
  <c r="BY31" i="2"/>
  <c r="BV31" i="2"/>
  <c r="BW31" i="2"/>
  <c r="BX31" i="2"/>
  <c r="BW78" i="2"/>
  <c r="CE78" i="2"/>
  <c r="BX78" i="2"/>
  <c r="CF78" i="2"/>
  <c r="BV78" i="2"/>
  <c r="BY78" i="2"/>
  <c r="CC78" i="2"/>
  <c r="CD78" i="2"/>
  <c r="BW70" i="2"/>
  <c r="BX70" i="2"/>
  <c r="BV70" i="2"/>
  <c r="BY70" i="2"/>
  <c r="BY60" i="2"/>
  <c r="BU60" i="2"/>
  <c r="BX60" i="2"/>
  <c r="BV60" i="2"/>
  <c r="BY51" i="2"/>
  <c r="BV51" i="2"/>
  <c r="BW51" i="2"/>
  <c r="BX51" i="2"/>
  <c r="BU51" i="2"/>
  <c r="BW41" i="2"/>
  <c r="BX41" i="2"/>
  <c r="BY41" i="2"/>
  <c r="BV41" i="2"/>
  <c r="BU41" i="2"/>
  <c r="CE79" i="2"/>
  <c r="BZ75" i="2"/>
  <c r="BU70" i="2"/>
  <c r="CF81" i="2"/>
  <c r="CC79" i="2"/>
  <c r="CF73" i="2"/>
  <c r="BW71" i="2"/>
  <c r="BX45" i="2"/>
  <c r="BV61" i="2"/>
  <c r="BX61" i="2"/>
  <c r="BY61" i="2"/>
  <c r="CL91" i="2"/>
  <c r="CM91" i="2" s="1"/>
  <c r="CO91" i="2" s="1"/>
  <c r="CP91" i="2" s="1"/>
  <c r="CT91" i="2" s="1"/>
  <c r="CU91" i="2" s="1"/>
  <c r="BW29" i="2"/>
  <c r="CB79" i="2"/>
  <c r="CB78" i="2"/>
  <c r="BU71" i="2"/>
  <c r="BW60" i="2"/>
  <c r="BY52" i="2"/>
  <c r="BU77" i="2"/>
  <c r="CC77" i="2"/>
  <c r="BY77" i="2"/>
  <c r="BZ77" i="2"/>
  <c r="BX69" i="2"/>
  <c r="BV69" i="2"/>
  <c r="BW69" i="2"/>
  <c r="BV59" i="2"/>
  <c r="BU59" i="2"/>
  <c r="BY59" i="2"/>
  <c r="BW50" i="2"/>
  <c r="BX50" i="2"/>
  <c r="BY50" i="2"/>
  <c r="BU50" i="2"/>
  <c r="BX39" i="2"/>
  <c r="BY39" i="2"/>
  <c r="BV39" i="2"/>
  <c r="BW39" i="2"/>
  <c r="CL94" i="2"/>
  <c r="CM94" i="2" s="1"/>
  <c r="CO94" i="2" s="1"/>
  <c r="CP94" i="2" s="1"/>
  <c r="CT94" i="2" s="1"/>
  <c r="CU94" i="2" s="1"/>
  <c r="CL77" i="2"/>
  <c r="CM77" i="2" s="1"/>
  <c r="CO77" i="2" s="1"/>
  <c r="CP77" i="2" s="1"/>
  <c r="CT77" i="2" s="1"/>
  <c r="CU77" i="2" s="1"/>
  <c r="BX77" i="2"/>
  <c r="CL75" i="2"/>
  <c r="CM75" i="2" s="1"/>
  <c r="CO75" i="2" s="1"/>
  <c r="CP75" i="2" s="1"/>
  <c r="CT75" i="2" s="1"/>
  <c r="CU75" i="2" s="1"/>
  <c r="BU69" i="2"/>
  <c r="BN68" i="2"/>
  <c r="BW76" i="2"/>
  <c r="CE76" i="2"/>
  <c r="CB76" i="2"/>
  <c r="BV66" i="2"/>
  <c r="BY66" i="2"/>
  <c r="BW58" i="2"/>
  <c r="BU58" i="2"/>
  <c r="BV58" i="2"/>
  <c r="BX49" i="2"/>
  <c r="BY49" i="2"/>
  <c r="BU49" i="2"/>
  <c r="BY38" i="2"/>
  <c r="BV38" i="2"/>
  <c r="BW38" i="2"/>
  <c r="CL102" i="2"/>
  <c r="CM102" i="2" s="1"/>
  <c r="CO102" i="2" s="1"/>
  <c r="CP102" i="2" s="1"/>
  <c r="CT102" i="2" s="1"/>
  <c r="CU102" i="2" s="1"/>
  <c r="CL99" i="2"/>
  <c r="CM99" i="2" s="1"/>
  <c r="CO99" i="2" s="1"/>
  <c r="CP99" i="2" s="1"/>
  <c r="CT99" i="2" s="1"/>
  <c r="CU99" i="2" s="1"/>
  <c r="CL90" i="2"/>
  <c r="CM90" i="2" s="1"/>
  <c r="CO90" i="2" s="1"/>
  <c r="CP90" i="2" s="1"/>
  <c r="CT90" i="2" s="1"/>
  <c r="CU90" i="2" s="1"/>
  <c r="CL85" i="2"/>
  <c r="CM85" i="2" s="1"/>
  <c r="CO85" i="2" s="1"/>
  <c r="CP85" i="2" s="1"/>
  <c r="CT85" i="2" s="1"/>
  <c r="CU85" i="2" s="1"/>
  <c r="BW77" i="2"/>
  <c r="CC76" i="2"/>
  <c r="BW66" i="2"/>
  <c r="BX58" i="2"/>
  <c r="BW49" i="2"/>
  <c r="BZ80" i="2"/>
  <c r="BV80" i="2"/>
  <c r="CD80" i="2"/>
  <c r="BW80" i="2"/>
  <c r="CE80" i="2"/>
  <c r="BZ72" i="2"/>
  <c r="BV72" i="2"/>
  <c r="CD72" i="2"/>
  <c r="BW72" i="2"/>
  <c r="CE72" i="2"/>
  <c r="BX62" i="2"/>
  <c r="BU62" i="2"/>
  <c r="BY62" i="2"/>
  <c r="BW54" i="2"/>
  <c r="BX54" i="2"/>
  <c r="BY54" i="2"/>
  <c r="BV54" i="2"/>
  <c r="BU44" i="2"/>
  <c r="BX44" i="2"/>
  <c r="BY44" i="2"/>
  <c r="BV44" i="2"/>
  <c r="BW33" i="2"/>
  <c r="BX33" i="2"/>
  <c r="BU33" i="2"/>
  <c r="BV33" i="2"/>
  <c r="CL92" i="2"/>
  <c r="CM92" i="2" s="1"/>
  <c r="CO92" i="2" s="1"/>
  <c r="CP92" i="2" s="1"/>
  <c r="CT92" i="2" s="1"/>
  <c r="CU92" i="2" s="1"/>
  <c r="CF80" i="2"/>
  <c r="CD77" i="2"/>
  <c r="BX76" i="2"/>
  <c r="BY72" i="2"/>
  <c r="BV50" i="2"/>
  <c r="BN53" i="2"/>
  <c r="CO76" i="2"/>
  <c r="CP76" i="2" s="1"/>
  <c r="CT76" i="2" s="1"/>
  <c r="CU76" i="2" s="1"/>
  <c r="CL82" i="2"/>
  <c r="CM82" i="2" s="1"/>
  <c r="CL74" i="2"/>
  <c r="CM74" i="2" s="1"/>
  <c r="CO74" i="2" s="1"/>
  <c r="CP74" i="2" s="1"/>
  <c r="CT74" i="2" s="1"/>
  <c r="CU74" i="2" s="1"/>
  <c r="BN32" i="2"/>
  <c r="BN30" i="2"/>
  <c r="BX24" i="2"/>
  <c r="BW24" i="2"/>
  <c r="BY24" i="2"/>
  <c r="BV24" i="2"/>
  <c r="CO82" i="2"/>
  <c r="CP82" i="2" s="1"/>
  <c r="CT82" i="2" s="1"/>
  <c r="CU82" i="2" s="1"/>
  <c r="CL98" i="2"/>
  <c r="CM98" i="2" s="1"/>
  <c r="CO98" i="2" s="1"/>
  <c r="CP98" i="2" s="1"/>
  <c r="CT98" i="2" s="1"/>
  <c r="CU98" i="2" s="1"/>
  <c r="BX29" i="2"/>
  <c r="BV26" i="2"/>
  <c r="BV29" i="2"/>
  <c r="BU29" i="2"/>
  <c r="BY26" i="2"/>
  <c r="BX26" i="2"/>
  <c r="AO80" i="4"/>
  <c r="Y93" i="4"/>
  <c r="AL93" i="4"/>
  <c r="AM93" i="4" s="1"/>
  <c r="AM69" i="4"/>
  <c r="AN69" i="4" s="1"/>
  <c r="AL85" i="4"/>
  <c r="AM85" i="4" s="1"/>
  <c r="AN85" i="4" s="1"/>
  <c r="AL89" i="4"/>
  <c r="AM89" i="4" s="1"/>
  <c r="AO43" i="4"/>
  <c r="AO74" i="4"/>
  <c r="AO95" i="4"/>
  <c r="AM76" i="4"/>
  <c r="AO76" i="4" s="1"/>
  <c r="AP76" i="4" s="1"/>
  <c r="AM68" i="4"/>
  <c r="AO68" i="4" s="1"/>
  <c r="AP68" i="4" s="1"/>
  <c r="AF71" i="4"/>
  <c r="AL70" i="4"/>
  <c r="AM70" i="4" s="1"/>
  <c r="AM67" i="4"/>
  <c r="AO58" i="4"/>
  <c r="AI48" i="4"/>
  <c r="AO63" i="4"/>
  <c r="AN95" i="4"/>
  <c r="AN58" i="4"/>
  <c r="Y67" i="4"/>
  <c r="AB24" i="4"/>
  <c r="AE24" i="4"/>
  <c r="AI53" i="4"/>
  <c r="Y68" i="4"/>
  <c r="W24" i="4"/>
  <c r="Y69" i="4"/>
  <c r="Y85" i="4"/>
  <c r="Y89" i="4"/>
  <c r="Y70" i="4"/>
  <c r="W85" i="4"/>
  <c r="W76" i="4"/>
  <c r="W70" i="4"/>
  <c r="P31" i="4"/>
  <c r="P32" i="4"/>
  <c r="P33" i="4"/>
  <c r="P34" i="4"/>
  <c r="P35" i="4"/>
  <c r="P36" i="4"/>
  <c r="P37" i="4"/>
  <c r="BI71" i="2"/>
  <c r="BG71" i="2"/>
  <c r="BK71" i="2" s="1"/>
  <c r="BI70" i="2"/>
  <c r="BG70" i="2"/>
  <c r="BK70" i="2" s="1"/>
  <c r="BI69" i="2"/>
  <c r="BG69" i="2"/>
  <c r="BK69" i="2" s="1"/>
  <c r="BI68" i="2"/>
  <c r="BG68" i="2"/>
  <c r="BK68" i="2" s="1"/>
  <c r="BI66" i="2"/>
  <c r="BG66" i="2"/>
  <c r="BK66" i="2" s="1"/>
  <c r="BI62" i="2"/>
  <c r="BG62" i="2"/>
  <c r="BK62" i="2" s="1"/>
  <c r="BI61" i="2"/>
  <c r="BG61" i="2"/>
  <c r="BK61" i="2" s="1"/>
  <c r="BI57" i="2"/>
  <c r="BG57" i="2"/>
  <c r="BK57" i="2" s="1"/>
  <c r="BI56" i="2"/>
  <c r="BG56" i="2"/>
  <c r="BK56" i="2" s="1"/>
  <c r="BI55" i="2"/>
  <c r="BG55" i="2"/>
  <c r="BK55" i="2" s="1"/>
  <c r="BI54" i="2"/>
  <c r="BG54" i="2"/>
  <c r="BK54" i="2" s="1"/>
  <c r="BI53" i="2"/>
  <c r="BG53" i="2"/>
  <c r="BK53" i="2" s="1"/>
  <c r="BI52" i="2"/>
  <c r="BG52" i="2"/>
  <c r="BK52" i="2" s="1"/>
  <c r="BI51" i="2"/>
  <c r="BG51" i="2"/>
  <c r="BK51" i="2" s="1"/>
  <c r="BI50" i="2"/>
  <c r="BG50" i="2"/>
  <c r="BK50" i="2" s="1"/>
  <c r="BI48" i="2"/>
  <c r="BG48" i="2"/>
  <c r="BK48" i="2" s="1"/>
  <c r="BI47" i="2"/>
  <c r="BG47" i="2"/>
  <c r="BK47" i="2" s="1"/>
  <c r="BI44" i="2"/>
  <c r="BG44" i="2"/>
  <c r="BK44" i="2" s="1"/>
  <c r="BI41" i="2"/>
  <c r="BG41" i="2"/>
  <c r="BK41" i="2" s="1"/>
  <c r="BG38" i="2"/>
  <c r="BK38" i="2" s="1"/>
  <c r="BG37" i="2"/>
  <c r="BK37" i="2" s="1"/>
  <c r="BG35" i="2"/>
  <c r="BK35" i="2" s="1"/>
  <c r="BG31" i="2"/>
  <c r="BK31" i="2" s="1"/>
  <c r="BG34" i="2"/>
  <c r="BK34" i="2" s="1"/>
  <c r="BG33" i="2"/>
  <c r="BK33" i="2" s="1"/>
  <c r="BG32" i="2"/>
  <c r="BK32" i="2" s="1"/>
  <c r="BG30" i="2"/>
  <c r="BK30" i="2" s="1"/>
  <c r="BG29" i="2"/>
  <c r="BK29" i="2" s="1"/>
  <c r="BG28" i="2"/>
  <c r="BI28" i="2" s="1"/>
  <c r="BG27" i="2"/>
  <c r="BI27" i="2" s="1"/>
  <c r="BG26" i="2"/>
  <c r="BI26" i="2" s="1"/>
  <c r="BG25" i="2"/>
  <c r="BI25" i="2" s="1"/>
  <c r="BG24" i="2"/>
  <c r="BK24" i="2" s="1"/>
  <c r="BI24" i="2"/>
  <c r="BG23" i="2"/>
  <c r="BI23" i="2" s="1"/>
  <c r="BG39" i="2"/>
  <c r="BK39" i="2" s="1"/>
  <c r="BG42" i="2"/>
  <c r="BK42" i="2" s="1"/>
  <c r="BG45" i="2"/>
  <c r="BK45" i="2" s="1"/>
  <c r="BG49" i="2"/>
  <c r="BK49" i="2" s="1"/>
  <c r="BG58" i="2"/>
  <c r="BK58" i="2" s="1"/>
  <c r="BG59" i="2"/>
  <c r="BK59" i="2" s="1"/>
  <c r="BG60" i="2"/>
  <c r="BK60" i="2" s="1"/>
  <c r="BG63" i="2"/>
  <c r="BK63" i="2" s="1"/>
  <c r="BG64" i="2"/>
  <c r="BK64" i="2" s="1"/>
  <c r="BG65" i="2"/>
  <c r="BK65" i="2" s="1"/>
  <c r="BG72" i="2"/>
  <c r="BK72" i="2" s="1"/>
  <c r="BG73" i="2"/>
  <c r="BK73" i="2" s="1"/>
  <c r="BG74" i="2"/>
  <c r="BK74" i="2" s="1"/>
  <c r="BG75" i="2"/>
  <c r="BK75" i="2" s="1"/>
  <c r="BG76" i="2"/>
  <c r="BK76" i="2" s="1"/>
  <c r="BG77" i="2"/>
  <c r="BK77" i="2" s="1"/>
  <c r="BG78" i="2"/>
  <c r="BK78" i="2" s="1"/>
  <c r="BG79" i="2"/>
  <c r="BK79" i="2" s="1"/>
  <c r="BG80" i="2"/>
  <c r="BK80" i="2" s="1"/>
  <c r="BG81" i="2"/>
  <c r="BK81" i="2" s="1"/>
  <c r="BG82" i="2"/>
  <c r="BK82" i="2" s="1"/>
  <c r="BG22" i="2"/>
  <c r="BK22" i="2" s="1"/>
  <c r="BG21" i="2"/>
  <c r="BK21" i="2" s="1"/>
  <c r="BE21" i="2"/>
  <c r="BE22" i="2"/>
  <c r="BE72" i="2"/>
  <c r="BE73" i="2"/>
  <c r="BE74" i="2"/>
  <c r="BE75" i="2"/>
  <c r="BE76" i="2"/>
  <c r="BE77" i="2"/>
  <c r="BE78" i="2"/>
  <c r="BE79" i="2"/>
  <c r="BE80" i="2"/>
  <c r="BE81" i="2"/>
  <c r="BE82" i="2"/>
  <c r="BC23" i="2"/>
  <c r="BC34" i="2"/>
  <c r="BC35" i="2"/>
  <c r="BC37" i="2"/>
  <c r="BC38" i="2"/>
  <c r="BC39" i="2"/>
  <c r="BC41" i="2"/>
  <c r="BC42" i="2"/>
  <c r="BC44" i="2"/>
  <c r="BC45" i="2"/>
  <c r="BC47" i="2"/>
  <c r="BC48" i="2"/>
  <c r="BC49" i="2"/>
  <c r="BC50" i="2"/>
  <c r="BC51" i="2"/>
  <c r="BC52" i="2"/>
  <c r="BC53" i="2"/>
  <c r="BC54" i="2"/>
  <c r="BC55" i="2"/>
  <c r="BC56" i="2"/>
  <c r="BC57" i="2"/>
  <c r="BC58" i="2"/>
  <c r="BC59" i="2"/>
  <c r="BC60" i="2"/>
  <c r="BC61" i="2"/>
  <c r="BC62" i="2"/>
  <c r="BC63" i="2"/>
  <c r="BC64" i="2"/>
  <c r="BC65" i="2"/>
  <c r="BC66" i="2"/>
  <c r="BC68" i="2"/>
  <c r="BC69" i="2"/>
  <c r="BC70" i="2"/>
  <c r="BC71" i="2"/>
  <c r="BC72" i="2"/>
  <c r="BC73" i="2"/>
  <c r="BC74" i="2"/>
  <c r="BC75" i="2"/>
  <c r="BC76" i="2"/>
  <c r="BC77" i="2"/>
  <c r="BC78" i="2"/>
  <c r="BC79" i="2"/>
  <c r="BC80" i="2"/>
  <c r="BC81" i="2"/>
  <c r="BC82" i="2"/>
  <c r="BC21" i="2"/>
  <c r="BC22" i="2"/>
  <c r="BC24" i="2"/>
  <c r="BC25" i="2"/>
  <c r="BC26" i="2"/>
  <c r="BC27" i="2"/>
  <c r="BC28" i="2"/>
  <c r="BC29" i="2"/>
  <c r="BC30" i="2"/>
  <c r="BC31" i="2"/>
  <c r="BC32" i="2"/>
  <c r="BC33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7" i="2"/>
  <c r="BB38" i="2"/>
  <c r="BB39" i="2"/>
  <c r="BB21" i="2"/>
  <c r="BB22" i="2"/>
  <c r="BC20" i="2"/>
  <c r="BI29" i="2"/>
  <c r="BI31" i="2"/>
  <c r="BI32" i="2"/>
  <c r="BI34" i="2"/>
  <c r="BI35" i="2"/>
  <c r="BI37" i="2"/>
  <c r="BI38" i="2"/>
  <c r="BF39" i="2"/>
  <c r="BI39" i="2" s="1"/>
  <c r="BF42" i="2"/>
  <c r="BI42" i="2" s="1"/>
  <c r="BF45" i="2"/>
  <c r="BI45" i="2" s="1"/>
  <c r="BF49" i="2"/>
  <c r="BI49" i="2" s="1"/>
  <c r="BF58" i="2"/>
  <c r="BI58" i="2" s="1"/>
  <c r="BF59" i="2"/>
  <c r="BI59" i="2" s="1"/>
  <c r="BF60" i="2"/>
  <c r="BI60" i="2" s="1"/>
  <c r="BF63" i="2"/>
  <c r="BI63" i="2" s="1"/>
  <c r="BF64" i="2"/>
  <c r="BI64" i="2" s="1"/>
  <c r="BF65" i="2"/>
  <c r="BI65" i="2" s="1"/>
  <c r="BF73" i="2"/>
  <c r="BF74" i="2"/>
  <c r="BF75" i="2"/>
  <c r="BF76" i="2"/>
  <c r="BF77" i="2"/>
  <c r="BF78" i="2"/>
  <c r="BF79" i="2"/>
  <c r="BF80" i="2"/>
  <c r="BF81" i="2"/>
  <c r="BI21" i="2"/>
  <c r="AT72" i="2"/>
  <c r="AT73" i="2"/>
  <c r="AT74" i="2"/>
  <c r="AT75" i="2"/>
  <c r="AT76" i="2"/>
  <c r="AT77" i="2"/>
  <c r="AT78" i="2"/>
  <c r="AT79" i="2"/>
  <c r="AT80" i="2"/>
  <c r="AT81" i="2"/>
  <c r="AT82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7" i="2"/>
  <c r="AR38" i="2"/>
  <c r="AR39" i="2"/>
  <c r="AR41" i="2"/>
  <c r="AR42" i="2"/>
  <c r="AR44" i="2"/>
  <c r="AR45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21" i="2"/>
  <c r="AR22" i="2"/>
  <c r="AR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7" i="2"/>
  <c r="AM31" i="2"/>
  <c r="AM32" i="2"/>
  <c r="AM33" i="2"/>
  <c r="AM34" i="2"/>
  <c r="AM35" i="2"/>
  <c r="AM37" i="2"/>
  <c r="AM38" i="2"/>
  <c r="AM39" i="2"/>
  <c r="AM41" i="2"/>
  <c r="AM42" i="2"/>
  <c r="AM44" i="2"/>
  <c r="AM45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82" i="2"/>
  <c r="AP34" i="2"/>
  <c r="AP35" i="2"/>
  <c r="AP37" i="2"/>
  <c r="AP38" i="2"/>
  <c r="AP41" i="2"/>
  <c r="AP44" i="2"/>
  <c r="AP47" i="2"/>
  <c r="AP48" i="2"/>
  <c r="AP50" i="2"/>
  <c r="AP51" i="2"/>
  <c r="AP52" i="2"/>
  <c r="AP53" i="2"/>
  <c r="AP54" i="2"/>
  <c r="AP55" i="2"/>
  <c r="AP56" i="2"/>
  <c r="AP57" i="2"/>
  <c r="AP61" i="2"/>
  <c r="AP62" i="2"/>
  <c r="AP66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M23" i="2"/>
  <c r="AH71" i="2"/>
  <c r="AG71" i="2"/>
  <c r="AH70" i="2"/>
  <c r="AG70" i="2"/>
  <c r="AH69" i="2"/>
  <c r="AG69" i="2"/>
  <c r="AH68" i="2"/>
  <c r="AG68" i="2"/>
  <c r="AH66" i="2"/>
  <c r="AG66" i="2"/>
  <c r="AH62" i="2"/>
  <c r="AG62" i="2"/>
  <c r="AH61" i="2"/>
  <c r="AG61" i="2"/>
  <c r="AH57" i="2"/>
  <c r="AG57" i="2"/>
  <c r="AH56" i="2"/>
  <c r="AG56" i="2"/>
  <c r="AH55" i="2"/>
  <c r="AG55" i="2"/>
  <c r="AH54" i="2"/>
  <c r="AG54" i="2"/>
  <c r="AH53" i="2"/>
  <c r="AG53" i="2"/>
  <c r="AH52" i="2"/>
  <c r="AG52" i="2"/>
  <c r="AH51" i="2"/>
  <c r="AG51" i="2"/>
  <c r="AH50" i="2"/>
  <c r="AG50" i="2"/>
  <c r="AH48" i="2"/>
  <c r="AG48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7" i="2"/>
  <c r="AD38" i="2"/>
  <c r="AD39" i="2"/>
  <c r="AD41" i="2"/>
  <c r="AD42" i="2"/>
  <c r="AD44" i="2"/>
  <c r="AD45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8" i="2"/>
  <c r="AD69" i="2"/>
  <c r="AD70" i="2"/>
  <c r="AD71" i="2"/>
  <c r="AD72" i="2"/>
  <c r="AD73" i="2"/>
  <c r="AD23" i="2"/>
  <c r="AH59" i="2"/>
  <c r="AG59" i="2"/>
  <c r="AH58" i="2"/>
  <c r="AG58" i="2"/>
  <c r="AH49" i="2"/>
  <c r="AG49" i="2"/>
  <c r="AH47" i="2"/>
  <c r="AG47" i="2"/>
  <c r="AH44" i="2"/>
  <c r="AG44" i="2"/>
  <c r="AH41" i="2"/>
  <c r="AG41" i="2"/>
  <c r="AH38" i="2"/>
  <c r="AG38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7" i="2"/>
  <c r="AH39" i="2"/>
  <c r="AH42" i="2"/>
  <c r="AH45" i="2"/>
  <c r="AH60" i="2"/>
  <c r="AH63" i="2"/>
  <c r="AH64" i="2"/>
  <c r="AH65" i="2"/>
  <c r="AH72" i="2"/>
  <c r="AH73" i="2"/>
  <c r="AH74" i="2"/>
  <c r="AH75" i="2"/>
  <c r="AH76" i="2"/>
  <c r="AH77" i="2"/>
  <c r="AH78" i="2"/>
  <c r="AH79" i="2"/>
  <c r="AH80" i="2"/>
  <c r="AH81" i="2"/>
  <c r="AH82" i="2"/>
  <c r="AH23" i="2"/>
  <c r="S72" i="2"/>
  <c r="S73" i="2"/>
  <c r="S74" i="2"/>
  <c r="S75" i="2"/>
  <c r="M71" i="2"/>
  <c r="M69" i="2"/>
  <c r="M70" i="2"/>
  <c r="M64" i="2"/>
  <c r="M65" i="2"/>
  <c r="M63" i="2"/>
  <c r="M62" i="2"/>
  <c r="M61" i="2"/>
  <c r="M59" i="2"/>
  <c r="M60" i="2"/>
  <c r="M58" i="2"/>
  <c r="M49" i="2"/>
  <c r="S49" i="2" s="1"/>
  <c r="BJ72" i="2"/>
  <c r="BJ73" i="2"/>
  <c r="BJ74" i="2"/>
  <c r="AK24" i="2"/>
  <c r="BJ24" i="2" s="1"/>
  <c r="AK25" i="2"/>
  <c r="BJ25" i="2" s="1"/>
  <c r="AK26" i="2"/>
  <c r="BJ26" i="2" s="1"/>
  <c r="AK27" i="2"/>
  <c r="BJ27" i="2" s="1"/>
  <c r="AK28" i="2"/>
  <c r="BJ28" i="2" s="1"/>
  <c r="AK29" i="2"/>
  <c r="BJ29" i="2" s="1"/>
  <c r="AK30" i="2"/>
  <c r="BJ30" i="2" s="1"/>
  <c r="AK31" i="2"/>
  <c r="BJ31" i="2" s="1"/>
  <c r="AK32" i="2"/>
  <c r="BJ32" i="2" s="1"/>
  <c r="AK33" i="2"/>
  <c r="BJ33" i="2" s="1"/>
  <c r="AK34" i="2"/>
  <c r="BJ34" i="2" s="1"/>
  <c r="AK35" i="2"/>
  <c r="BJ35" i="2" s="1"/>
  <c r="AK37" i="2"/>
  <c r="BJ37" i="2" s="1"/>
  <c r="AK38" i="2"/>
  <c r="BJ38" i="2" s="1"/>
  <c r="AK39" i="2"/>
  <c r="BJ39" i="2" s="1"/>
  <c r="AK41" i="2"/>
  <c r="BJ41" i="2" s="1"/>
  <c r="AK42" i="2"/>
  <c r="BJ42" i="2" s="1"/>
  <c r="AK44" i="2"/>
  <c r="BJ44" i="2" s="1"/>
  <c r="AK45" i="2"/>
  <c r="BJ45" i="2" s="1"/>
  <c r="AK47" i="2"/>
  <c r="BJ47" i="2" s="1"/>
  <c r="AK48" i="2"/>
  <c r="BJ48" i="2" s="1"/>
  <c r="AK49" i="2"/>
  <c r="BJ49" i="2" s="1"/>
  <c r="AK50" i="2"/>
  <c r="BJ50" i="2" s="1"/>
  <c r="AK51" i="2"/>
  <c r="BJ51" i="2" s="1"/>
  <c r="AK52" i="2"/>
  <c r="BJ52" i="2" s="1"/>
  <c r="AK53" i="2"/>
  <c r="BJ53" i="2" s="1"/>
  <c r="AK54" i="2"/>
  <c r="BJ54" i="2" s="1"/>
  <c r="AK55" i="2"/>
  <c r="BJ55" i="2" s="1"/>
  <c r="AK56" i="2"/>
  <c r="BJ56" i="2" s="1"/>
  <c r="AK57" i="2"/>
  <c r="BJ57" i="2" s="1"/>
  <c r="AK58" i="2"/>
  <c r="BJ58" i="2" s="1"/>
  <c r="AK59" i="2"/>
  <c r="BJ59" i="2" s="1"/>
  <c r="AK60" i="2"/>
  <c r="BJ60" i="2" s="1"/>
  <c r="AK61" i="2"/>
  <c r="BJ61" i="2" s="1"/>
  <c r="AK62" i="2"/>
  <c r="BJ62" i="2" s="1"/>
  <c r="AK63" i="2"/>
  <c r="BJ63" i="2" s="1"/>
  <c r="AK64" i="2"/>
  <c r="BJ64" i="2" s="1"/>
  <c r="AK65" i="2"/>
  <c r="BJ65" i="2" s="1"/>
  <c r="AK66" i="2"/>
  <c r="BJ66" i="2" s="1"/>
  <c r="AK68" i="2"/>
  <c r="BJ68" i="2" s="1"/>
  <c r="AK69" i="2"/>
  <c r="BJ69" i="2" s="1"/>
  <c r="AK70" i="2"/>
  <c r="BJ70" i="2" s="1"/>
  <c r="AK71" i="2"/>
  <c r="BJ71" i="2" s="1"/>
  <c r="AK23" i="2"/>
  <c r="BJ23" i="2" s="1"/>
  <c r="AX99" i="4"/>
  <c r="AP99" i="4"/>
  <c r="AK99" i="4"/>
  <c r="AJ99" i="4"/>
  <c r="AE99" i="4"/>
  <c r="Y99" i="4"/>
  <c r="W99" i="4"/>
  <c r="T99" i="4"/>
  <c r="Q99" i="4"/>
  <c r="I99" i="4"/>
  <c r="G99" i="4"/>
  <c r="D99" i="4"/>
  <c r="AX98" i="4"/>
  <c r="AP98" i="4"/>
  <c r="AK98" i="4"/>
  <c r="AJ98" i="4"/>
  <c r="AE98" i="4"/>
  <c r="Y98" i="4"/>
  <c r="W98" i="4"/>
  <c r="T98" i="4"/>
  <c r="Q98" i="4"/>
  <c r="I98" i="4"/>
  <c r="G98" i="4"/>
  <c r="D98" i="4"/>
  <c r="AX97" i="4"/>
  <c r="AP97" i="4"/>
  <c r="AK97" i="4"/>
  <c r="AJ97" i="4"/>
  <c r="AE97" i="4"/>
  <c r="Y97" i="4"/>
  <c r="W97" i="4"/>
  <c r="T97" i="4"/>
  <c r="Q97" i="4"/>
  <c r="I97" i="4"/>
  <c r="G97" i="4"/>
  <c r="D97" i="4"/>
  <c r="AX96" i="4"/>
  <c r="AP96" i="4"/>
  <c r="AK96" i="4"/>
  <c r="AJ96" i="4"/>
  <c r="AE96" i="4"/>
  <c r="Y96" i="4"/>
  <c r="W96" i="4"/>
  <c r="T96" i="4"/>
  <c r="Q96" i="4"/>
  <c r="I96" i="4"/>
  <c r="G96" i="4"/>
  <c r="D96" i="4"/>
  <c r="AX92" i="4"/>
  <c r="AK92" i="4"/>
  <c r="AJ92" i="4"/>
  <c r="AE92" i="4"/>
  <c r="Y92" i="4"/>
  <c r="W92" i="4"/>
  <c r="T92" i="4"/>
  <c r="Q92" i="4"/>
  <c r="I92" i="4"/>
  <c r="G92" i="4"/>
  <c r="D92" i="4"/>
  <c r="AX88" i="4"/>
  <c r="AK88" i="4"/>
  <c r="AJ88" i="4"/>
  <c r="AE88" i="4"/>
  <c r="Y88" i="4"/>
  <c r="W88" i="4"/>
  <c r="T88" i="4"/>
  <c r="Q88" i="4"/>
  <c r="I88" i="4"/>
  <c r="G88" i="4"/>
  <c r="D88" i="4"/>
  <c r="AX86" i="4"/>
  <c r="AK86" i="4"/>
  <c r="AJ86" i="4"/>
  <c r="AE86" i="4"/>
  <c r="Y86" i="4"/>
  <c r="W86" i="4"/>
  <c r="T86" i="4"/>
  <c r="Q86" i="4"/>
  <c r="I86" i="4"/>
  <c r="G86" i="4"/>
  <c r="D86" i="4"/>
  <c r="AX84" i="4"/>
  <c r="AK84" i="4"/>
  <c r="AJ84" i="4"/>
  <c r="AE84" i="4"/>
  <c r="Y84" i="4"/>
  <c r="W84" i="4"/>
  <c r="T84" i="4"/>
  <c r="Q84" i="4"/>
  <c r="I84" i="4"/>
  <c r="G84" i="4"/>
  <c r="D84" i="4"/>
  <c r="AX83" i="4"/>
  <c r="AK83" i="4"/>
  <c r="AJ83" i="4"/>
  <c r="AE83" i="4"/>
  <c r="Y83" i="4"/>
  <c r="W83" i="4"/>
  <c r="T83" i="4"/>
  <c r="Q83" i="4"/>
  <c r="I83" i="4"/>
  <c r="G83" i="4"/>
  <c r="D83" i="4"/>
  <c r="AX82" i="4"/>
  <c r="AK82" i="4"/>
  <c r="AJ82" i="4"/>
  <c r="AE82" i="4"/>
  <c r="Y82" i="4"/>
  <c r="W82" i="4"/>
  <c r="T82" i="4"/>
  <c r="Q82" i="4"/>
  <c r="I82" i="4"/>
  <c r="G82" i="4"/>
  <c r="D82" i="4"/>
  <c r="AX81" i="4"/>
  <c r="AK81" i="4"/>
  <c r="AJ81" i="4"/>
  <c r="AE81" i="4"/>
  <c r="Y81" i="4"/>
  <c r="W81" i="4"/>
  <c r="T81" i="4"/>
  <c r="Q81" i="4"/>
  <c r="I81" i="4"/>
  <c r="G81" i="4"/>
  <c r="D81" i="4"/>
  <c r="AX57" i="4"/>
  <c r="AK57" i="4"/>
  <c r="AJ57" i="4"/>
  <c r="AE57" i="4"/>
  <c r="Y57" i="4"/>
  <c r="W57" i="4"/>
  <c r="T57" i="4"/>
  <c r="G57" i="4"/>
  <c r="D57" i="4"/>
  <c r="AX55" i="4"/>
  <c r="AK55" i="4"/>
  <c r="AJ55" i="4"/>
  <c r="AE55" i="4"/>
  <c r="Y55" i="4"/>
  <c r="W55" i="4"/>
  <c r="T55" i="4"/>
  <c r="G55" i="4"/>
  <c r="D55" i="4"/>
  <c r="AX54" i="4"/>
  <c r="AK54" i="4"/>
  <c r="AJ54" i="4"/>
  <c r="AE54" i="4"/>
  <c r="Y54" i="4"/>
  <c r="W54" i="4"/>
  <c r="T54" i="4"/>
  <c r="G54" i="4"/>
  <c r="D54" i="4"/>
  <c r="AX52" i="4"/>
  <c r="AK52" i="4"/>
  <c r="AJ52" i="4"/>
  <c r="AE52" i="4"/>
  <c r="Y52" i="4"/>
  <c r="W52" i="4"/>
  <c r="T52" i="4"/>
  <c r="Q52" i="4"/>
  <c r="I52" i="4"/>
  <c r="G52" i="4"/>
  <c r="D52" i="4"/>
  <c r="AX50" i="4"/>
  <c r="AK50" i="4"/>
  <c r="AJ50" i="4"/>
  <c r="AE50" i="4"/>
  <c r="Y50" i="4"/>
  <c r="W50" i="4"/>
  <c r="T50" i="4"/>
  <c r="P50" i="4"/>
  <c r="Q50" i="4" s="1"/>
  <c r="I50" i="4"/>
  <c r="G50" i="4"/>
  <c r="D50" i="4"/>
  <c r="AX47" i="4"/>
  <c r="AK47" i="4"/>
  <c r="AJ47" i="4"/>
  <c r="AE47" i="4"/>
  <c r="Y47" i="4"/>
  <c r="W47" i="4"/>
  <c r="T47" i="4"/>
  <c r="Q47" i="4"/>
  <c r="I47" i="4"/>
  <c r="G47" i="4"/>
  <c r="D47" i="4"/>
  <c r="AX42" i="4"/>
  <c r="AK42" i="4"/>
  <c r="AJ42" i="4"/>
  <c r="AE42" i="4"/>
  <c r="Y42" i="4"/>
  <c r="W42" i="4"/>
  <c r="T42" i="4"/>
  <c r="Q42" i="4"/>
  <c r="M42" i="4"/>
  <c r="I42" i="4"/>
  <c r="G42" i="4"/>
  <c r="D42" i="4"/>
  <c r="BI22" i="2"/>
  <c r="BI30" i="2"/>
  <c r="BI33" i="2"/>
  <c r="AC28" i="2"/>
  <c r="AC29" i="2"/>
  <c r="AC30" i="2"/>
  <c r="AC31" i="2"/>
  <c r="AC32" i="2"/>
  <c r="AC33" i="2"/>
  <c r="AC34" i="2"/>
  <c r="AC35" i="2"/>
  <c r="AC37" i="2"/>
  <c r="AC38" i="2"/>
  <c r="AC39" i="2"/>
  <c r="AC41" i="2"/>
  <c r="AC42" i="2"/>
  <c r="AC44" i="2"/>
  <c r="AC45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8" i="2"/>
  <c r="AC69" i="2"/>
  <c r="AC70" i="2"/>
  <c r="AC71" i="2"/>
  <c r="AC72" i="2"/>
  <c r="M68" i="2"/>
  <c r="M66" i="2"/>
  <c r="M57" i="2"/>
  <c r="M56" i="2"/>
  <c r="M55" i="2"/>
  <c r="M54" i="2"/>
  <c r="M53" i="2"/>
  <c r="M52" i="2"/>
  <c r="M51" i="2"/>
  <c r="M50" i="2"/>
  <c r="M48" i="2"/>
  <c r="M47" i="2"/>
  <c r="M45" i="2"/>
  <c r="M44" i="2"/>
  <c r="S45" i="2" s="1"/>
  <c r="M42" i="2"/>
  <c r="M41" i="2"/>
  <c r="M39" i="2"/>
  <c r="M38" i="2"/>
  <c r="M37" i="2"/>
  <c r="M35" i="2"/>
  <c r="M34" i="2"/>
  <c r="M33" i="2"/>
  <c r="M32" i="2"/>
  <c r="M31" i="2"/>
  <c r="M30" i="2"/>
  <c r="M29" i="2"/>
  <c r="M28" i="2"/>
  <c r="M27" i="2"/>
  <c r="M26" i="2"/>
  <c r="CD26" i="2" s="1"/>
  <c r="M25" i="2"/>
  <c r="M24" i="2"/>
  <c r="M23" i="2"/>
  <c r="AX23" i="2" s="1"/>
  <c r="AY23" i="2" s="1"/>
  <c r="BA23" i="2" s="1"/>
  <c r="BB41" i="2"/>
  <c r="BB42" i="2"/>
  <c r="BB44" i="2"/>
  <c r="BB45" i="2"/>
  <c r="BB47" i="2"/>
  <c r="BB48" i="2"/>
  <c r="BB49" i="2"/>
  <c r="BB50" i="2"/>
  <c r="BB51" i="2"/>
  <c r="BB52" i="2"/>
  <c r="BB53" i="2"/>
  <c r="BB54" i="2"/>
  <c r="BB55" i="2"/>
  <c r="BB56" i="2"/>
  <c r="BB57" i="2"/>
  <c r="BB58" i="2"/>
  <c r="BB59" i="2"/>
  <c r="BB60" i="2"/>
  <c r="BB61" i="2"/>
  <c r="BB62" i="2"/>
  <c r="BB63" i="2"/>
  <c r="BB64" i="2"/>
  <c r="BB65" i="2"/>
  <c r="BB66" i="2"/>
  <c r="BB68" i="2"/>
  <c r="BB69" i="2"/>
  <c r="BB70" i="2"/>
  <c r="BB71" i="2"/>
  <c r="BB72" i="2"/>
  <c r="BB73" i="2"/>
  <c r="BB74" i="2"/>
  <c r="BB75" i="2"/>
  <c r="BB76" i="2"/>
  <c r="BB77" i="2"/>
  <c r="BB78" i="2"/>
  <c r="BB79" i="2"/>
  <c r="BB80" i="2"/>
  <c r="BB81" i="2"/>
  <c r="BB82" i="2"/>
  <c r="BB20" i="2"/>
  <c r="E19" i="2"/>
  <c r="G19" i="2"/>
  <c r="H19" i="2"/>
  <c r="AK48" i="4"/>
  <c r="AK49" i="4"/>
  <c r="AK53" i="4"/>
  <c r="AK59" i="4"/>
  <c r="AK60" i="4"/>
  <c r="AK61" i="4"/>
  <c r="AK62" i="4"/>
  <c r="AK64" i="4"/>
  <c r="AK65" i="4"/>
  <c r="AK66" i="4"/>
  <c r="AK71" i="4"/>
  <c r="AK72" i="4"/>
  <c r="AK73" i="4"/>
  <c r="AK75" i="4"/>
  <c r="AK77" i="4"/>
  <c r="AK79" i="4"/>
  <c r="AK25" i="4"/>
  <c r="AK26" i="4"/>
  <c r="AK27" i="4"/>
  <c r="AK28" i="4"/>
  <c r="AK29" i="4"/>
  <c r="AK30" i="4"/>
  <c r="AK31" i="4"/>
  <c r="AK32" i="4"/>
  <c r="AK33" i="4"/>
  <c r="AK34" i="4"/>
  <c r="AK35" i="4"/>
  <c r="AK36" i="4"/>
  <c r="AK37" i="4"/>
  <c r="AK39" i="4"/>
  <c r="AK40" i="4"/>
  <c r="AK41" i="4"/>
  <c r="AK44" i="4"/>
  <c r="AK45" i="4"/>
  <c r="AK24" i="4"/>
  <c r="W65" i="4"/>
  <c r="Y26" i="4"/>
  <c r="Y27" i="4"/>
  <c r="Y28" i="4"/>
  <c r="Y29" i="4"/>
  <c r="Y30" i="4"/>
  <c r="Y31" i="4"/>
  <c r="Y32" i="4"/>
  <c r="Y33" i="4"/>
  <c r="Y34" i="4"/>
  <c r="Y35" i="4"/>
  <c r="Y36" i="4"/>
  <c r="Y37" i="4"/>
  <c r="Y40" i="4"/>
  <c r="Y41" i="4"/>
  <c r="Y44" i="4"/>
  <c r="Y45" i="4"/>
  <c r="Y48" i="4"/>
  <c r="Y49" i="4"/>
  <c r="Y53" i="4"/>
  <c r="Y59" i="4"/>
  <c r="Y60" i="4"/>
  <c r="Y61" i="4"/>
  <c r="Y62" i="4"/>
  <c r="Y65" i="4"/>
  <c r="Y66" i="4"/>
  <c r="Y71" i="4"/>
  <c r="Y72" i="4"/>
  <c r="Y73" i="4"/>
  <c r="Y75" i="4"/>
  <c r="Y77" i="4"/>
  <c r="Y79" i="4"/>
  <c r="T35" i="4"/>
  <c r="T37" i="4"/>
  <c r="T41" i="4"/>
  <c r="U48" i="4"/>
  <c r="V48" i="4" s="1"/>
  <c r="U53" i="4"/>
  <c r="V53" i="4" s="1"/>
  <c r="U71" i="4"/>
  <c r="V71" i="4" s="1"/>
  <c r="T31" i="4"/>
  <c r="T25" i="4"/>
  <c r="T26" i="4"/>
  <c r="T27" i="4"/>
  <c r="T29" i="4"/>
  <c r="T30" i="4"/>
  <c r="T32" i="4"/>
  <c r="T33" i="4"/>
  <c r="T36" i="4"/>
  <c r="T39" i="4"/>
  <c r="T40" i="4"/>
  <c r="T44" i="4"/>
  <c r="T45" i="4"/>
  <c r="T28" i="4"/>
  <c r="A25" i="4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M67" i="7" l="1"/>
  <c r="AM83" i="7"/>
  <c r="BI22" i="7"/>
  <c r="BI20" i="7" s="1"/>
  <c r="BF20" i="7"/>
  <c r="BM20" i="7"/>
  <c r="V9" i="7" s="1"/>
  <c r="Z23" i="6"/>
  <c r="AC4" i="6" s="1"/>
  <c r="AE4" i="6" s="1"/>
  <c r="AC23" i="6"/>
  <c r="AC5" i="6" s="1"/>
  <c r="AM35" i="7"/>
  <c r="AM26" i="7"/>
  <c r="AU26" i="7"/>
  <c r="BK26" i="7" s="1"/>
  <c r="AM42" i="7"/>
  <c r="AU42" i="7"/>
  <c r="BK42" i="7" s="1"/>
  <c r="AM31" i="7"/>
  <c r="AU31" i="7"/>
  <c r="BK31" i="7" s="1"/>
  <c r="BK20" i="7" s="1"/>
  <c r="U9" i="7" s="1"/>
  <c r="X9" i="7" s="1"/>
  <c r="AW30" i="7"/>
  <c r="AZ30" i="7"/>
  <c r="AW33" i="7"/>
  <c r="AZ33" i="7"/>
  <c r="AZ28" i="7"/>
  <c r="AW28" i="7"/>
  <c r="AM38" i="7"/>
  <c r="AU38" i="7"/>
  <c r="AW38" i="7" s="1"/>
  <c r="AW27" i="7"/>
  <c r="AZ27" i="7"/>
  <c r="AR20" i="7"/>
  <c r="U5" i="7" s="1"/>
  <c r="X5" i="7" s="1"/>
  <c r="AS22" i="7"/>
  <c r="AS20" i="7" s="1"/>
  <c r="U3" i="7" s="1"/>
  <c r="AW24" i="7"/>
  <c r="AZ24" i="7"/>
  <c r="AW25" i="7"/>
  <c r="AZ25" i="7"/>
  <c r="AZ35" i="7"/>
  <c r="AW35" i="7"/>
  <c r="AM30" i="7"/>
  <c r="AM27" i="7"/>
  <c r="AO20" i="7"/>
  <c r="U7" i="7" s="1"/>
  <c r="AM33" i="7"/>
  <c r="AM25" i="7"/>
  <c r="AM28" i="7"/>
  <c r="K20" i="6"/>
  <c r="AC20" i="6"/>
  <c r="BD51" i="2"/>
  <c r="BD41" i="2"/>
  <c r="BD68" i="2"/>
  <c r="A39" i="4"/>
  <c r="A40" i="4" s="1"/>
  <c r="A41" i="4" s="1"/>
  <c r="A43" i="4" s="1"/>
  <c r="A44" i="4" s="1"/>
  <c r="A45" i="4" s="1"/>
  <c r="A48" i="4" s="1"/>
  <c r="A49" i="4" s="1"/>
  <c r="A50" i="4" s="1"/>
  <c r="BD71" i="2"/>
  <c r="BD62" i="2"/>
  <c r="BD54" i="2"/>
  <c r="BN27" i="2"/>
  <c r="BD48" i="2"/>
  <c r="BD56" i="2"/>
  <c r="BN28" i="2"/>
  <c r="BD38" i="2"/>
  <c r="BD55" i="2"/>
  <c r="BD47" i="2"/>
  <c r="BN38" i="2"/>
  <c r="BN60" i="2"/>
  <c r="BD35" i="2"/>
  <c r="BD27" i="2"/>
  <c r="BN80" i="2"/>
  <c r="BN71" i="2"/>
  <c r="BN25" i="2"/>
  <c r="BN37" i="2"/>
  <c r="BN35" i="2"/>
  <c r="BD70" i="2"/>
  <c r="BD61" i="2"/>
  <c r="BD53" i="2"/>
  <c r="BD44" i="2"/>
  <c r="BN29" i="2"/>
  <c r="BN45" i="2"/>
  <c r="BD66" i="2"/>
  <c r="BD50" i="2"/>
  <c r="BD23" i="2"/>
  <c r="BK26" i="2"/>
  <c r="BN62" i="2"/>
  <c r="BN77" i="2"/>
  <c r="BN66" i="2"/>
  <c r="BN74" i="2"/>
  <c r="BN44" i="2"/>
  <c r="BN41" i="2"/>
  <c r="BN55" i="2"/>
  <c r="BN64" i="2"/>
  <c r="BN72" i="2"/>
  <c r="BN58" i="2"/>
  <c r="BN59" i="2"/>
  <c r="BD69" i="2"/>
  <c r="BD52" i="2"/>
  <c r="BN73" i="2"/>
  <c r="BN63" i="2"/>
  <c r="S28" i="2"/>
  <c r="CC28" i="2"/>
  <c r="BZ28" i="2"/>
  <c r="CB28" i="2"/>
  <c r="CF28" i="2"/>
  <c r="CD28" i="2"/>
  <c r="CE28" i="2"/>
  <c r="CJ28" i="2"/>
  <c r="CL28" i="2" s="1"/>
  <c r="CM28" i="2" s="1"/>
  <c r="CA28" i="2"/>
  <c r="Y57" i="2"/>
  <c r="CF57" i="2"/>
  <c r="CC57" i="2"/>
  <c r="CD57" i="2"/>
  <c r="CE57" i="2"/>
  <c r="CJ57" i="2"/>
  <c r="CL57" i="2" s="1"/>
  <c r="CM57" i="2" s="1"/>
  <c r="CO57" i="2" s="1"/>
  <c r="CP57" i="2" s="1"/>
  <c r="CT57" i="2" s="1"/>
  <c r="CU57" i="2" s="1"/>
  <c r="CA57" i="2"/>
  <c r="CB57" i="2"/>
  <c r="BZ57" i="2"/>
  <c r="Y63" i="2"/>
  <c r="CB63" i="2"/>
  <c r="CC63" i="2"/>
  <c r="CD63" i="2"/>
  <c r="CF63" i="2"/>
  <c r="BZ63" i="2"/>
  <c r="CA63" i="2"/>
  <c r="CE63" i="2"/>
  <c r="CJ63" i="2"/>
  <c r="CL63" i="2" s="1"/>
  <c r="CM63" i="2" s="1"/>
  <c r="S29" i="2"/>
  <c r="CA29" i="2"/>
  <c r="CJ29" i="2"/>
  <c r="CL29" i="2" s="1"/>
  <c r="CM29" i="2" s="1"/>
  <c r="CO29" i="2" s="1"/>
  <c r="CP29" i="2" s="1"/>
  <c r="CT29" i="2" s="1"/>
  <c r="CU29" i="2" s="1"/>
  <c r="Y50" i="2"/>
  <c r="BZ50" i="2"/>
  <c r="CE50" i="2"/>
  <c r="CF50" i="2"/>
  <c r="CJ50" i="2"/>
  <c r="CL50" i="2" s="1"/>
  <c r="CM50" i="2" s="1"/>
  <c r="CC50" i="2"/>
  <c r="CD50" i="2"/>
  <c r="CA50" i="2"/>
  <c r="CB50" i="2"/>
  <c r="Y65" i="2"/>
  <c r="CE65" i="2"/>
  <c r="CB65" i="2"/>
  <c r="BZ65" i="2"/>
  <c r="CF65" i="2"/>
  <c r="CC65" i="2"/>
  <c r="CD65" i="2"/>
  <c r="CA65" i="2"/>
  <c r="CJ65" i="2"/>
  <c r="CL65" i="2" s="1"/>
  <c r="CM65" i="2" s="1"/>
  <c r="CO65" i="2" s="1"/>
  <c r="CP65" i="2" s="1"/>
  <c r="CT65" i="2" s="1"/>
  <c r="CU65" i="2" s="1"/>
  <c r="BQ72" i="2"/>
  <c r="BR72" i="2"/>
  <c r="BS72" i="2"/>
  <c r="BO72" i="2"/>
  <c r="BP72" i="2"/>
  <c r="Y30" i="2"/>
  <c r="CD30" i="2"/>
  <c r="CE30" i="2"/>
  <c r="BZ30" i="2"/>
  <c r="CA30" i="2"/>
  <c r="CJ30" i="2"/>
  <c r="CL30" i="2" s="1"/>
  <c r="CM30" i="2" s="1"/>
  <c r="CB30" i="2"/>
  <c r="CC30" i="2"/>
  <c r="CF30" i="2"/>
  <c r="Y39" i="2"/>
  <c r="CA39" i="2"/>
  <c r="CJ39" i="2"/>
  <c r="CL39" i="2" s="1"/>
  <c r="CM39" i="2" s="1"/>
  <c r="CF39" i="2"/>
  <c r="BZ39" i="2"/>
  <c r="CC39" i="2"/>
  <c r="CD39" i="2"/>
  <c r="CB39" i="2"/>
  <c r="CE39" i="2"/>
  <c r="Y51" i="2"/>
  <c r="CD51" i="2"/>
  <c r="CE51" i="2"/>
  <c r="CF51" i="2"/>
  <c r="CJ51" i="2"/>
  <c r="CL51" i="2" s="1"/>
  <c r="CM51" i="2" s="1"/>
  <c r="CO51" i="2" s="1"/>
  <c r="CP51" i="2" s="1"/>
  <c r="CT51" i="2" s="1"/>
  <c r="CU51" i="2" s="1"/>
  <c r="CB51" i="2"/>
  <c r="CC51" i="2"/>
  <c r="BZ51" i="2"/>
  <c r="CA51" i="2"/>
  <c r="Y68" i="2"/>
  <c r="CC68" i="2"/>
  <c r="BZ68" i="2"/>
  <c r="CD68" i="2"/>
  <c r="CE68" i="2"/>
  <c r="CA68" i="2"/>
  <c r="CJ68" i="2"/>
  <c r="CL68" i="2" s="1"/>
  <c r="CM68" i="2" s="1"/>
  <c r="CO68" i="2" s="1"/>
  <c r="CP68" i="2" s="1"/>
  <c r="CT68" i="2" s="1"/>
  <c r="CU68" i="2" s="1"/>
  <c r="CB68" i="2"/>
  <c r="CF68" i="2"/>
  <c r="CA49" i="2"/>
  <c r="CJ49" i="2"/>
  <c r="CL49" i="2" s="1"/>
  <c r="CM49" i="2" s="1"/>
  <c r="CO49" i="2" s="1"/>
  <c r="CP49" i="2" s="1"/>
  <c r="CT49" i="2" s="1"/>
  <c r="CU49" i="2" s="1"/>
  <c r="CF49" i="2"/>
  <c r="BZ49" i="2"/>
  <c r="CC49" i="2"/>
  <c r="CD49" i="2"/>
  <c r="CB49" i="2"/>
  <c r="CE49" i="2"/>
  <c r="Y64" i="2"/>
  <c r="CD64" i="2"/>
  <c r="CC64" i="2"/>
  <c r="CE64" i="2"/>
  <c r="CF64" i="2"/>
  <c r="BZ64" i="2"/>
  <c r="CA64" i="2"/>
  <c r="CJ64" i="2"/>
  <c r="CB64" i="2"/>
  <c r="BD32" i="2"/>
  <c r="BK23" i="2"/>
  <c r="BN51" i="2"/>
  <c r="BN79" i="2"/>
  <c r="BN56" i="2"/>
  <c r="BN61" i="2"/>
  <c r="CD29" i="2"/>
  <c r="BN24" i="2"/>
  <c r="BN33" i="2"/>
  <c r="BN54" i="2"/>
  <c r="BN76" i="2"/>
  <c r="BN50" i="2"/>
  <c r="BN31" i="2"/>
  <c r="S48" i="2"/>
  <c r="CC48" i="2"/>
  <c r="BZ48" i="2"/>
  <c r="CA48" i="2"/>
  <c r="CJ48" i="2"/>
  <c r="CL48" i="2" s="1"/>
  <c r="CM48" i="2" s="1"/>
  <c r="CB48" i="2"/>
  <c r="CD48" i="2"/>
  <c r="CF48" i="2"/>
  <c r="CE48" i="2"/>
  <c r="Y41" i="2"/>
  <c r="BZ41" i="2"/>
  <c r="CE41" i="2"/>
  <c r="CF41" i="2"/>
  <c r="CC41" i="2"/>
  <c r="CD41" i="2"/>
  <c r="CA41" i="2"/>
  <c r="CB41" i="2"/>
  <c r="CJ41" i="2"/>
  <c r="CL41" i="2" s="1"/>
  <c r="CM41" i="2" s="1"/>
  <c r="CO41" i="2" s="1"/>
  <c r="CP41" i="2" s="1"/>
  <c r="CT41" i="2" s="1"/>
  <c r="CU41" i="2" s="1"/>
  <c r="Y58" i="2"/>
  <c r="CE58" i="2"/>
  <c r="CB58" i="2"/>
  <c r="CC58" i="2"/>
  <c r="CD58" i="2"/>
  <c r="BZ58" i="2"/>
  <c r="CA58" i="2"/>
  <c r="CJ58" i="2"/>
  <c r="CL58" i="2" s="1"/>
  <c r="CM58" i="2" s="1"/>
  <c r="CF58" i="2"/>
  <c r="S70" i="2"/>
  <c r="CA70" i="2"/>
  <c r="CJ70" i="2"/>
  <c r="CL70" i="2" s="1"/>
  <c r="CM70" i="2" s="1"/>
  <c r="CE70" i="2"/>
  <c r="CF70" i="2"/>
  <c r="CD70" i="2"/>
  <c r="BZ70" i="2"/>
  <c r="CB70" i="2"/>
  <c r="CC70" i="2"/>
  <c r="BD57" i="2"/>
  <c r="Y32" i="2"/>
  <c r="BZ32" i="2"/>
  <c r="CA32" i="2"/>
  <c r="CJ32" i="2"/>
  <c r="CL32" i="2" s="1"/>
  <c r="CM32" i="2" s="1"/>
  <c r="CO32" i="2" s="1"/>
  <c r="CP32" i="2" s="1"/>
  <c r="CT32" i="2" s="1"/>
  <c r="CU32" i="2" s="1"/>
  <c r="CE32" i="2"/>
  <c r="CF32" i="2"/>
  <c r="CB32" i="2"/>
  <c r="CC32" i="2"/>
  <c r="CD32" i="2"/>
  <c r="Y42" i="2"/>
  <c r="CF42" i="2"/>
  <c r="CC42" i="2"/>
  <c r="CD42" i="2"/>
  <c r="CE42" i="2"/>
  <c r="BZ42" i="2"/>
  <c r="CA42" i="2"/>
  <c r="CJ42" i="2"/>
  <c r="CL42" i="2" s="1"/>
  <c r="CM42" i="2" s="1"/>
  <c r="CO42" i="2" s="1"/>
  <c r="CP42" i="2" s="1"/>
  <c r="CT42" i="2" s="1"/>
  <c r="CU42" i="2" s="1"/>
  <c r="CB42" i="2"/>
  <c r="S53" i="2"/>
  <c r="CB53" i="2"/>
  <c r="BZ53" i="2"/>
  <c r="CA53" i="2"/>
  <c r="CJ53" i="2"/>
  <c r="CL53" i="2" s="1"/>
  <c r="CM53" i="2" s="1"/>
  <c r="CO53" i="2" s="1"/>
  <c r="CP53" i="2" s="1"/>
  <c r="CT53" i="2" s="1"/>
  <c r="CU53" i="2" s="1"/>
  <c r="CF53" i="2"/>
  <c r="CC53" i="2"/>
  <c r="CE53" i="2"/>
  <c r="CD53" i="2"/>
  <c r="Y60" i="2"/>
  <c r="CB60" i="2"/>
  <c r="CE60" i="2"/>
  <c r="BZ60" i="2"/>
  <c r="CJ60" i="2"/>
  <c r="CL60" i="2" s="1"/>
  <c r="CM60" i="2" s="1"/>
  <c r="CA60" i="2"/>
  <c r="CC60" i="2"/>
  <c r="CD60" i="2"/>
  <c r="CF60" i="2"/>
  <c r="S69" i="2"/>
  <c r="CA69" i="2"/>
  <c r="CJ69" i="2"/>
  <c r="CL69" i="2" s="1"/>
  <c r="CM69" i="2" s="1"/>
  <c r="CO69" i="2" s="1"/>
  <c r="CP69" i="2" s="1"/>
  <c r="CT69" i="2" s="1"/>
  <c r="CU69" i="2" s="1"/>
  <c r="CB69" i="2"/>
  <c r="CF69" i="2"/>
  <c r="BZ69" i="2"/>
  <c r="CC69" i="2"/>
  <c r="CE69" i="2"/>
  <c r="CD69" i="2"/>
  <c r="CB29" i="2"/>
  <c r="BN39" i="2"/>
  <c r="BN42" i="2"/>
  <c r="BN34" i="2"/>
  <c r="BN48" i="2"/>
  <c r="Y38" i="2"/>
  <c r="CB38" i="2"/>
  <c r="BZ38" i="2"/>
  <c r="CA38" i="2"/>
  <c r="CJ38" i="2"/>
  <c r="CL38" i="2" s="1"/>
  <c r="CM38" i="2" s="1"/>
  <c r="CO38" i="2" s="1"/>
  <c r="CP38" i="2" s="1"/>
  <c r="CT38" i="2" s="1"/>
  <c r="CU38" i="2" s="1"/>
  <c r="CC38" i="2"/>
  <c r="CD38" i="2"/>
  <c r="CE38" i="2"/>
  <c r="CF38" i="2"/>
  <c r="Y52" i="2"/>
  <c r="CE52" i="2"/>
  <c r="CB52" i="2"/>
  <c r="CC52" i="2"/>
  <c r="CD52" i="2"/>
  <c r="BZ52" i="2"/>
  <c r="CA52" i="2"/>
  <c r="CF52" i="2"/>
  <c r="CJ52" i="2"/>
  <c r="CL52" i="2" s="1"/>
  <c r="CM52" i="2" s="1"/>
  <c r="CO52" i="2" s="1"/>
  <c r="CP52" i="2" s="1"/>
  <c r="CT52" i="2" s="1"/>
  <c r="CU52" i="2" s="1"/>
  <c r="Y33" i="2"/>
  <c r="CE33" i="2"/>
  <c r="CF33" i="2"/>
  <c r="CB33" i="2"/>
  <c r="CC33" i="2"/>
  <c r="CD33" i="2"/>
  <c r="CJ33" i="2"/>
  <c r="CL33" i="2" s="1"/>
  <c r="CM33" i="2" s="1"/>
  <c r="CO33" i="2" s="1"/>
  <c r="CP33" i="2" s="1"/>
  <c r="CT33" i="2" s="1"/>
  <c r="CU33" i="2" s="1"/>
  <c r="BZ33" i="2"/>
  <c r="CA33" i="2"/>
  <c r="Y59" i="2"/>
  <c r="CD59" i="2"/>
  <c r="CA59" i="2"/>
  <c r="CJ59" i="2"/>
  <c r="CL59" i="2" s="1"/>
  <c r="CM59" i="2" s="1"/>
  <c r="CO59" i="2" s="1"/>
  <c r="CP59" i="2" s="1"/>
  <c r="CT59" i="2" s="1"/>
  <c r="CU59" i="2" s="1"/>
  <c r="CB59" i="2"/>
  <c r="CC59" i="2"/>
  <c r="BZ59" i="2"/>
  <c r="CF59" i="2"/>
  <c r="CE59" i="2"/>
  <c r="CE26" i="2"/>
  <c r="CE29" i="2"/>
  <c r="BN47" i="2"/>
  <c r="S37" i="2"/>
  <c r="CD37" i="2"/>
  <c r="CE37" i="2"/>
  <c r="CA37" i="2"/>
  <c r="CJ37" i="2"/>
  <c r="CL37" i="2" s="1"/>
  <c r="CM37" i="2" s="1"/>
  <c r="CB37" i="2"/>
  <c r="CC37" i="2"/>
  <c r="CF37" i="2"/>
  <c r="BZ37" i="2"/>
  <c r="Y66" i="2"/>
  <c r="CD66" i="2"/>
  <c r="CA66" i="2"/>
  <c r="CJ66" i="2"/>
  <c r="CL66" i="2" s="1"/>
  <c r="CM66" i="2" s="1"/>
  <c r="CE66" i="2"/>
  <c r="BZ66" i="2"/>
  <c r="CC66" i="2"/>
  <c r="CF66" i="2"/>
  <c r="CB66" i="2"/>
  <c r="Y31" i="2"/>
  <c r="CB31" i="2"/>
  <c r="CC31" i="2"/>
  <c r="BZ31" i="2"/>
  <c r="CA31" i="2"/>
  <c r="CJ31" i="2"/>
  <c r="CL31" i="2" s="1"/>
  <c r="CM31" i="2" s="1"/>
  <c r="CO31" i="2" s="1"/>
  <c r="CP31" i="2" s="1"/>
  <c r="CT31" i="2" s="1"/>
  <c r="CU31" i="2" s="1"/>
  <c r="CE31" i="2"/>
  <c r="CF31" i="2"/>
  <c r="CD31" i="2"/>
  <c r="S25" i="2"/>
  <c r="CB25" i="2"/>
  <c r="CF25" i="2"/>
  <c r="CD25" i="2"/>
  <c r="CE25" i="2"/>
  <c r="CJ25" i="2"/>
  <c r="CL25" i="2" s="1"/>
  <c r="CM25" i="2" s="1"/>
  <c r="BZ25" i="2"/>
  <c r="CC25" i="2"/>
  <c r="CA25" i="2"/>
  <c r="S44" i="2"/>
  <c r="CC44" i="2"/>
  <c r="BZ44" i="2"/>
  <c r="CA44" i="2"/>
  <c r="CJ44" i="2"/>
  <c r="CL44" i="2" s="1"/>
  <c r="CM44" i="2" s="1"/>
  <c r="CO44" i="2" s="1"/>
  <c r="CP44" i="2" s="1"/>
  <c r="CT44" i="2" s="1"/>
  <c r="CU44" i="2" s="1"/>
  <c r="CB44" i="2"/>
  <c r="CE44" i="2"/>
  <c r="CF44" i="2"/>
  <c r="CD44" i="2"/>
  <c r="Y54" i="2"/>
  <c r="BZ54" i="2"/>
  <c r="CE54" i="2"/>
  <c r="CF54" i="2"/>
  <c r="CD54" i="2"/>
  <c r="CA54" i="2"/>
  <c r="CC54" i="2"/>
  <c r="CB54" i="2"/>
  <c r="CJ54" i="2"/>
  <c r="CL54" i="2" s="1"/>
  <c r="CM54" i="2" s="1"/>
  <c r="Y71" i="2"/>
  <c r="CD71" i="2"/>
  <c r="BZ71" i="2"/>
  <c r="CA71" i="2"/>
  <c r="CJ71" i="2"/>
  <c r="CL71" i="2" s="1"/>
  <c r="CM71" i="2" s="1"/>
  <c r="CC71" i="2"/>
  <c r="CE71" i="2"/>
  <c r="CB71" i="2"/>
  <c r="CF71" i="2"/>
  <c r="Y26" i="2"/>
  <c r="BZ26" i="2"/>
  <c r="CA26" i="2"/>
  <c r="CC26" i="2"/>
  <c r="CJ26" i="2"/>
  <c r="CL26" i="2" s="1"/>
  <c r="CM26" i="2" s="1"/>
  <c r="CO26" i="2" s="1"/>
  <c r="CP26" i="2" s="1"/>
  <c r="CT26" i="2" s="1"/>
  <c r="CU26" i="2" s="1"/>
  <c r="Y34" i="2"/>
  <c r="CC34" i="2"/>
  <c r="CD34" i="2"/>
  <c r="BZ34" i="2"/>
  <c r="CA34" i="2"/>
  <c r="CJ34" i="2"/>
  <c r="CL34" i="2" s="1"/>
  <c r="CM34" i="2" s="1"/>
  <c r="CB34" i="2"/>
  <c r="CE34" i="2"/>
  <c r="CF34" i="2"/>
  <c r="Y45" i="2"/>
  <c r="CB45" i="2"/>
  <c r="BZ45" i="2"/>
  <c r="CA45" i="2"/>
  <c r="CJ45" i="2"/>
  <c r="CL45" i="2" s="1"/>
  <c r="CM45" i="2" s="1"/>
  <c r="CC45" i="2"/>
  <c r="CE45" i="2"/>
  <c r="CF45" i="2"/>
  <c r="CD45" i="2"/>
  <c r="Y55" i="2"/>
  <c r="CD55" i="2"/>
  <c r="CA55" i="2"/>
  <c r="CJ55" i="2"/>
  <c r="CL55" i="2" s="1"/>
  <c r="CM55" i="2" s="1"/>
  <c r="CB55" i="2"/>
  <c r="CC55" i="2"/>
  <c r="CF55" i="2"/>
  <c r="BZ55" i="2"/>
  <c r="CE55" i="2"/>
  <c r="Y61" i="2"/>
  <c r="CD61" i="2"/>
  <c r="CA61" i="2"/>
  <c r="CJ61" i="2"/>
  <c r="CL61" i="2" s="1"/>
  <c r="CM61" i="2" s="1"/>
  <c r="CC61" i="2"/>
  <c r="CB61" i="2"/>
  <c r="CE61" i="2"/>
  <c r="BZ61" i="2"/>
  <c r="CF61" i="2"/>
  <c r="BP75" i="2"/>
  <c r="BO75" i="2"/>
  <c r="BR75" i="2"/>
  <c r="BS75" i="2"/>
  <c r="BQ75" i="2"/>
  <c r="BK28" i="2"/>
  <c r="BN26" i="2"/>
  <c r="BN70" i="2"/>
  <c r="BN78" i="2"/>
  <c r="BN52" i="2"/>
  <c r="BN57" i="2"/>
  <c r="BN75" i="2"/>
  <c r="BQ73" i="2"/>
  <c r="BR73" i="2"/>
  <c r="BO73" i="2"/>
  <c r="BP73" i="2"/>
  <c r="BS73" i="2"/>
  <c r="Y27" i="2"/>
  <c r="CE27" i="2"/>
  <c r="CA27" i="2"/>
  <c r="CJ27" i="2"/>
  <c r="CL27" i="2" s="1"/>
  <c r="CM27" i="2" s="1"/>
  <c r="CO27" i="2" s="1"/>
  <c r="CP27" i="2" s="1"/>
  <c r="CT27" i="2" s="1"/>
  <c r="CU27" i="2" s="1"/>
  <c r="CB27" i="2"/>
  <c r="CC27" i="2"/>
  <c r="CD27" i="2"/>
  <c r="BZ27" i="2"/>
  <c r="CF27" i="2"/>
  <c r="Y35" i="2"/>
  <c r="BZ35" i="2"/>
  <c r="CA35" i="2"/>
  <c r="CJ35" i="2"/>
  <c r="CL35" i="2" s="1"/>
  <c r="CM35" i="2" s="1"/>
  <c r="CE35" i="2"/>
  <c r="CF35" i="2"/>
  <c r="CB35" i="2"/>
  <c r="CC35" i="2"/>
  <c r="CD35" i="2"/>
  <c r="Y47" i="2"/>
  <c r="CD47" i="2"/>
  <c r="CE47" i="2"/>
  <c r="CF47" i="2"/>
  <c r="CC47" i="2"/>
  <c r="BZ47" i="2"/>
  <c r="CJ47" i="2"/>
  <c r="CL47" i="2" s="1"/>
  <c r="CM47" i="2" s="1"/>
  <c r="CA47" i="2"/>
  <c r="CB47" i="2"/>
  <c r="S56" i="2"/>
  <c r="BZ56" i="2"/>
  <c r="CE56" i="2"/>
  <c r="CF56" i="2"/>
  <c r="CD56" i="2"/>
  <c r="CC56" i="2"/>
  <c r="CJ56" i="2"/>
  <c r="CA56" i="2"/>
  <c r="CB56" i="2"/>
  <c r="Y62" i="2"/>
  <c r="CF62" i="2"/>
  <c r="CC62" i="2"/>
  <c r="CD62" i="2"/>
  <c r="CJ62" i="2"/>
  <c r="CL62" i="2" s="1"/>
  <c r="CM62" i="2" s="1"/>
  <c r="BZ62" i="2"/>
  <c r="CE62" i="2"/>
  <c r="CA62" i="2"/>
  <c r="CB62" i="2"/>
  <c r="BR74" i="2"/>
  <c r="BO74" i="2"/>
  <c r="BP74" i="2"/>
  <c r="BQ74" i="2"/>
  <c r="BS74" i="2"/>
  <c r="BK27" i="2"/>
  <c r="CF26" i="2"/>
  <c r="CF29" i="2"/>
  <c r="BN69" i="2"/>
  <c r="BZ29" i="2"/>
  <c r="CC29" i="2"/>
  <c r="BN65" i="2"/>
  <c r="BK25" i="2"/>
  <c r="CB26" i="2"/>
  <c r="BN49" i="2"/>
  <c r="BN81" i="2"/>
  <c r="Y24" i="2"/>
  <c r="CB24" i="2"/>
  <c r="CC24" i="2"/>
  <c r="CD24" i="2"/>
  <c r="CE24" i="2"/>
  <c r="CF24" i="2"/>
  <c r="BZ24" i="2"/>
  <c r="CA24" i="2"/>
  <c r="CJ24" i="2"/>
  <c r="CL24" i="2" s="1"/>
  <c r="CM24" i="2" s="1"/>
  <c r="AN68" i="4"/>
  <c r="AN76" i="4"/>
  <c r="AO85" i="4"/>
  <c r="AP85" i="4" s="1"/>
  <c r="AO93" i="4"/>
  <c r="AP93" i="4" s="1"/>
  <c r="AN93" i="4"/>
  <c r="AO69" i="4"/>
  <c r="AP69" i="4" s="1"/>
  <c r="AO70" i="4"/>
  <c r="AP70" i="4" s="1"/>
  <c r="AN70" i="4"/>
  <c r="AL33" i="4"/>
  <c r="AM33" i="4" s="1"/>
  <c r="AL77" i="4"/>
  <c r="AM77" i="4" s="1"/>
  <c r="AL84" i="4"/>
  <c r="AM84" i="4" s="1"/>
  <c r="AL40" i="4"/>
  <c r="AM40" i="4" s="1"/>
  <c r="AL61" i="4"/>
  <c r="AM61" i="4" s="1"/>
  <c r="AL37" i="4"/>
  <c r="AM37" i="4" s="1"/>
  <c r="AL28" i="4"/>
  <c r="AM28" i="4" s="1"/>
  <c r="AL53" i="4"/>
  <c r="AM53" i="4" s="1"/>
  <c r="AL57" i="4"/>
  <c r="AM57" i="4" s="1"/>
  <c r="AL24" i="4"/>
  <c r="AM24" i="4" s="1"/>
  <c r="AL35" i="4"/>
  <c r="AM35" i="4" s="1"/>
  <c r="AL27" i="4"/>
  <c r="AM27" i="4" s="1"/>
  <c r="AL66" i="4"/>
  <c r="AM66" i="4" s="1"/>
  <c r="AL49" i="4"/>
  <c r="AM49" i="4" s="1"/>
  <c r="AL52" i="4"/>
  <c r="AM52" i="4" s="1"/>
  <c r="AL86" i="4"/>
  <c r="AM86" i="4" s="1"/>
  <c r="AL42" i="4"/>
  <c r="AM42" i="4" s="1"/>
  <c r="AL83" i="4"/>
  <c r="AM83" i="4" s="1"/>
  <c r="AL72" i="4"/>
  <c r="AM72" i="4" s="1"/>
  <c r="AL36" i="4"/>
  <c r="AM36" i="4" s="1"/>
  <c r="AL71" i="4"/>
  <c r="AM71" i="4" s="1"/>
  <c r="AL45" i="4"/>
  <c r="AM45" i="4" s="1"/>
  <c r="AL34" i="4"/>
  <c r="AM34" i="4" s="1"/>
  <c r="AL26" i="4"/>
  <c r="AM26" i="4" s="1"/>
  <c r="AL65" i="4"/>
  <c r="AM65" i="4" s="1"/>
  <c r="AL48" i="4"/>
  <c r="AM48" i="4" s="1"/>
  <c r="AL88" i="4"/>
  <c r="AM88" i="4" s="1"/>
  <c r="AO67" i="4"/>
  <c r="AP67" i="4" s="1"/>
  <c r="AN67" i="4"/>
  <c r="AL79" i="4"/>
  <c r="AM79" i="4" s="1"/>
  <c r="AL64" i="4"/>
  <c r="AM64" i="4" s="1"/>
  <c r="AL44" i="4"/>
  <c r="AM44" i="4" s="1"/>
  <c r="AL54" i="4"/>
  <c r="AM54" i="4" s="1"/>
  <c r="AL41" i="4"/>
  <c r="AM41" i="4" s="1"/>
  <c r="AL50" i="4"/>
  <c r="AM50" i="4" s="1"/>
  <c r="AL62" i="4"/>
  <c r="AM62" i="4" s="1"/>
  <c r="AL47" i="4"/>
  <c r="AM47" i="4" s="1"/>
  <c r="AL75" i="4"/>
  <c r="AM75" i="4" s="1"/>
  <c r="AL39" i="4"/>
  <c r="AL30" i="4"/>
  <c r="AM30" i="4" s="1"/>
  <c r="AL73" i="4"/>
  <c r="AM73" i="4" s="1"/>
  <c r="AL60" i="4"/>
  <c r="AM60" i="4" s="1"/>
  <c r="AL55" i="4"/>
  <c r="AM55" i="4" s="1"/>
  <c r="AL82" i="4"/>
  <c r="AM82" i="4" s="1"/>
  <c r="AL25" i="4"/>
  <c r="AM25" i="4" s="1"/>
  <c r="AL29" i="4"/>
  <c r="AM29" i="4" s="1"/>
  <c r="AL81" i="4"/>
  <c r="AM81" i="4" s="1"/>
  <c r="AL32" i="4"/>
  <c r="AM32" i="4"/>
  <c r="AL31" i="4"/>
  <c r="AM31" i="4" s="1"/>
  <c r="AL59" i="4"/>
  <c r="AM59" i="4" s="1"/>
  <c r="AL92" i="4"/>
  <c r="AM92" i="4" s="1"/>
  <c r="AN89" i="4"/>
  <c r="AO89" i="4"/>
  <c r="AP89" i="4" s="1"/>
  <c r="AG48" i="4"/>
  <c r="AG71" i="4"/>
  <c r="AG53" i="4"/>
  <c r="BD37" i="2"/>
  <c r="BD34" i="2"/>
  <c r="BD26" i="2"/>
  <c r="BD29" i="2"/>
  <c r="BD33" i="2"/>
  <c r="BD25" i="2"/>
  <c r="BD30" i="2"/>
  <c r="BD28" i="2"/>
  <c r="BD31" i="2"/>
  <c r="BC19" i="2"/>
  <c r="AP65" i="2"/>
  <c r="AT63" i="2"/>
  <c r="S65" i="2"/>
  <c r="AT61" i="2"/>
  <c r="AU23" i="2"/>
  <c r="AT28" i="2"/>
  <c r="AP29" i="2"/>
  <c r="AP64" i="2"/>
  <c r="AP28" i="2"/>
  <c r="AT44" i="2"/>
  <c r="AT47" i="2"/>
  <c r="AP63" i="2"/>
  <c r="AP25" i="2"/>
  <c r="AT71" i="2"/>
  <c r="AT35" i="2"/>
  <c r="AT33" i="2"/>
  <c r="AT62" i="2"/>
  <c r="AP49" i="2"/>
  <c r="AT54" i="2"/>
  <c r="AP33" i="2"/>
  <c r="AP31" i="2"/>
  <c r="AT49" i="2"/>
  <c r="AT45" i="2"/>
  <c r="AT34" i="2"/>
  <c r="AT53" i="2"/>
  <c r="AT55" i="2"/>
  <c r="AP27" i="2"/>
  <c r="AT26" i="2"/>
  <c r="AT70" i="2"/>
  <c r="AP45" i="2"/>
  <c r="AP26" i="2"/>
  <c r="AT25" i="2"/>
  <c r="AT69" i="2"/>
  <c r="AT60" i="2"/>
  <c r="AT52" i="2"/>
  <c r="AT42" i="2"/>
  <c r="AT32" i="2"/>
  <c r="AT24" i="2"/>
  <c r="AT68" i="2"/>
  <c r="AT59" i="2"/>
  <c r="AT51" i="2"/>
  <c r="AT41" i="2"/>
  <c r="AT31" i="2"/>
  <c r="AT27" i="2"/>
  <c r="Y69" i="2"/>
  <c r="AN23" i="2"/>
  <c r="AP60" i="2"/>
  <c r="AP42" i="2"/>
  <c r="AP32" i="2"/>
  <c r="AT23" i="2"/>
  <c r="AT66" i="2"/>
  <c r="AT58" i="2"/>
  <c r="AT50" i="2"/>
  <c r="AT39" i="2"/>
  <c r="AT30" i="2"/>
  <c r="AP24" i="2"/>
  <c r="AP59" i="2"/>
  <c r="AT65" i="2"/>
  <c r="AT57" i="2"/>
  <c r="AT38" i="2"/>
  <c r="AT29" i="2"/>
  <c r="Y53" i="2"/>
  <c r="Y37" i="2"/>
  <c r="S66" i="2"/>
  <c r="AP23" i="2"/>
  <c r="AP58" i="2"/>
  <c r="AP39" i="2"/>
  <c r="AP30" i="2"/>
  <c r="AT64" i="2"/>
  <c r="AT56" i="2"/>
  <c r="AT48" i="2"/>
  <c r="AT37" i="2"/>
  <c r="AV23" i="2"/>
  <c r="BE23" i="2" s="1"/>
  <c r="S58" i="2"/>
  <c r="Y29" i="2"/>
  <c r="S50" i="2"/>
  <c r="S39" i="2"/>
  <c r="S38" i="2"/>
  <c r="S30" i="2"/>
  <c r="Y70" i="2"/>
  <c r="AH19" i="2"/>
  <c r="Y56" i="2"/>
  <c r="S61" i="2"/>
  <c r="Y49" i="2"/>
  <c r="S57" i="2"/>
  <c r="Y48" i="2"/>
  <c r="S32" i="2"/>
  <c r="Y28" i="2"/>
  <c r="S64" i="2"/>
  <c r="S42" i="2"/>
  <c r="S24" i="2"/>
  <c r="Y44" i="2"/>
  <c r="Y25" i="2"/>
  <c r="S63" i="2"/>
  <c r="S55" i="2"/>
  <c r="S47" i="2"/>
  <c r="S35" i="2"/>
  <c r="S27" i="2"/>
  <c r="S71" i="2"/>
  <c r="S62" i="2"/>
  <c r="S54" i="2"/>
  <c r="S46" i="2"/>
  <c r="S34" i="2"/>
  <c r="S26" i="2"/>
  <c r="S33" i="2"/>
  <c r="S60" i="2"/>
  <c r="S52" i="2"/>
  <c r="S23" i="2"/>
  <c r="S68" i="2"/>
  <c r="S59" i="2"/>
  <c r="S51" i="2"/>
  <c r="S41" i="2"/>
  <c r="S31" i="2"/>
  <c r="AI23" i="4"/>
  <c r="Y23" i="2"/>
  <c r="U8" i="7" l="1"/>
  <c r="X8" i="7" s="1"/>
  <c r="X7" i="7"/>
  <c r="AW22" i="7"/>
  <c r="AZ22" i="7"/>
  <c r="AW26" i="7"/>
  <c r="AZ26" i="7"/>
  <c r="AM20" i="7"/>
  <c r="U4" i="7" s="1"/>
  <c r="X4" i="7" s="1"/>
  <c r="AW31" i="7"/>
  <c r="AZ31" i="7"/>
  <c r="AW42" i="7"/>
  <c r="AZ42" i="7"/>
  <c r="A42" i="4"/>
  <c r="A47" i="4"/>
  <c r="CO37" i="2"/>
  <c r="CP37" i="2" s="1"/>
  <c r="CT37" i="2" s="1"/>
  <c r="CU37" i="2" s="1"/>
  <c r="CO28" i="2"/>
  <c r="CP28" i="2" s="1"/>
  <c r="CT28" i="2" s="1"/>
  <c r="CU28" i="2" s="1"/>
  <c r="CO39" i="2"/>
  <c r="CP39" i="2" s="1"/>
  <c r="CT39" i="2" s="1"/>
  <c r="CU39" i="2" s="1"/>
  <c r="CO30" i="2"/>
  <c r="CP30" i="2" s="1"/>
  <c r="CT30" i="2" s="1"/>
  <c r="CU30" i="2" s="1"/>
  <c r="CO54" i="2"/>
  <c r="CP54" i="2" s="1"/>
  <c r="CT54" i="2" s="1"/>
  <c r="CU54" i="2" s="1"/>
  <c r="CO62" i="2"/>
  <c r="CP62" i="2" s="1"/>
  <c r="CT62" i="2" s="1"/>
  <c r="CU62" i="2" s="1"/>
  <c r="CO47" i="2"/>
  <c r="CP47" i="2" s="1"/>
  <c r="CT47" i="2" s="1"/>
  <c r="CU47" i="2" s="1"/>
  <c r="CO66" i="2"/>
  <c r="CP66" i="2" s="1"/>
  <c r="CT66" i="2" s="1"/>
  <c r="CU66" i="2" s="1"/>
  <c r="BQ54" i="2"/>
  <c r="BO54" i="2"/>
  <c r="BP54" i="2"/>
  <c r="BS54" i="2"/>
  <c r="BR54" i="2"/>
  <c r="BS60" i="2"/>
  <c r="BP60" i="2"/>
  <c r="BQ60" i="2"/>
  <c r="BR60" i="2"/>
  <c r="BO60" i="2"/>
  <c r="CO34" i="2"/>
  <c r="CP34" i="2" s="1"/>
  <c r="CT34" i="2" s="1"/>
  <c r="CU34" i="2" s="1"/>
  <c r="CO61" i="2"/>
  <c r="CP61" i="2" s="1"/>
  <c r="CT61" i="2" s="1"/>
  <c r="CU61" i="2" s="1"/>
  <c r="BQ44" i="2"/>
  <c r="BR44" i="2"/>
  <c r="BS44" i="2"/>
  <c r="BP44" i="2"/>
  <c r="BO44" i="2"/>
  <c r="CO50" i="2"/>
  <c r="CP50" i="2" s="1"/>
  <c r="CT50" i="2" s="1"/>
  <c r="CU50" i="2" s="1"/>
  <c r="CO60" i="2"/>
  <c r="CP60" i="2" s="1"/>
  <c r="CT60" i="2" s="1"/>
  <c r="CU60" i="2" s="1"/>
  <c r="BS53" i="2"/>
  <c r="BP53" i="2"/>
  <c r="BQ53" i="2"/>
  <c r="BR53" i="2"/>
  <c r="BO53" i="2"/>
  <c r="CO70" i="2"/>
  <c r="CP70" i="2" s="1"/>
  <c r="CT70" i="2" s="1"/>
  <c r="CU70" i="2" s="1"/>
  <c r="BQ48" i="2"/>
  <c r="BR48" i="2"/>
  <c r="BS48" i="2"/>
  <c r="BP48" i="2"/>
  <c r="BO48" i="2"/>
  <c r="CL64" i="2"/>
  <c r="CM64" i="2" s="1"/>
  <c r="CO64" i="2" s="1"/>
  <c r="CP64" i="2" s="1"/>
  <c r="CT64" i="2" s="1"/>
  <c r="CU64" i="2" s="1"/>
  <c r="BR49" i="2"/>
  <c r="BO49" i="2"/>
  <c r="BP49" i="2"/>
  <c r="BQ49" i="2"/>
  <c r="BS49" i="2"/>
  <c r="BO30" i="2"/>
  <c r="BP30" i="2"/>
  <c r="BQ30" i="2"/>
  <c r="BR30" i="2"/>
  <c r="BS30" i="2"/>
  <c r="BS45" i="2"/>
  <c r="BP45" i="2"/>
  <c r="BQ45" i="2"/>
  <c r="BR45" i="2"/>
  <c r="BO45" i="2"/>
  <c r="BS65" i="2"/>
  <c r="BO65" i="2"/>
  <c r="BR65" i="2"/>
  <c r="BP65" i="2"/>
  <c r="BQ65" i="2"/>
  <c r="CO48" i="2"/>
  <c r="CP48" i="2" s="1"/>
  <c r="CT48" i="2" s="1"/>
  <c r="CU48" i="2" s="1"/>
  <c r="BR27" i="2"/>
  <c r="BS27" i="2"/>
  <c r="BO27" i="2"/>
  <c r="BP27" i="2"/>
  <c r="BQ27" i="2"/>
  <c r="BO42" i="2"/>
  <c r="BR42" i="2"/>
  <c r="BS42" i="2"/>
  <c r="BP42" i="2"/>
  <c r="BQ42" i="2"/>
  <c r="BS58" i="2"/>
  <c r="BQ58" i="2"/>
  <c r="BO58" i="2"/>
  <c r="BP58" i="2"/>
  <c r="BR58" i="2"/>
  <c r="BS31" i="2"/>
  <c r="BP31" i="2"/>
  <c r="BQ31" i="2"/>
  <c r="BR31" i="2"/>
  <c r="BO31" i="2"/>
  <c r="BO33" i="2"/>
  <c r="BS33" i="2"/>
  <c r="BP33" i="2"/>
  <c r="BQ33" i="2"/>
  <c r="BR33" i="2"/>
  <c r="BQ35" i="2"/>
  <c r="BR35" i="2"/>
  <c r="BO35" i="2"/>
  <c r="BP35" i="2"/>
  <c r="BS35" i="2"/>
  <c r="BP64" i="2"/>
  <c r="BR64" i="2"/>
  <c r="BS64" i="2"/>
  <c r="BO64" i="2"/>
  <c r="BQ64" i="2"/>
  <c r="CL56" i="2"/>
  <c r="CM56" i="2" s="1"/>
  <c r="CO56" i="2" s="1"/>
  <c r="CP56" i="2" s="1"/>
  <c r="CT56" i="2" s="1"/>
  <c r="CU56" i="2" s="1"/>
  <c r="BS25" i="2"/>
  <c r="BO25" i="2"/>
  <c r="BP25" i="2"/>
  <c r="BQ25" i="2"/>
  <c r="BR25" i="2"/>
  <c r="BP28" i="2"/>
  <c r="BQ28" i="2"/>
  <c r="BR28" i="2"/>
  <c r="BS28" i="2"/>
  <c r="BO28" i="2"/>
  <c r="BR55" i="2"/>
  <c r="BS55" i="2"/>
  <c r="BO55" i="2"/>
  <c r="BP55" i="2"/>
  <c r="BQ55" i="2"/>
  <c r="BO57" i="2"/>
  <c r="BR57" i="2"/>
  <c r="BS57" i="2"/>
  <c r="BP57" i="2"/>
  <c r="BQ57" i="2"/>
  <c r="CO55" i="2"/>
  <c r="CP55" i="2" s="1"/>
  <c r="CT55" i="2" s="1"/>
  <c r="CU55" i="2" s="1"/>
  <c r="BS52" i="2"/>
  <c r="BQ52" i="2"/>
  <c r="BP52" i="2"/>
  <c r="BR52" i="2"/>
  <c r="BO52" i="2"/>
  <c r="BQ71" i="2"/>
  <c r="BR71" i="2"/>
  <c r="BO71" i="2"/>
  <c r="BP71" i="2"/>
  <c r="BS71" i="2"/>
  <c r="BR61" i="2"/>
  <c r="BQ61" i="2"/>
  <c r="BP61" i="2"/>
  <c r="BS61" i="2"/>
  <c r="BO61" i="2"/>
  <c r="BQ56" i="2"/>
  <c r="BO56" i="2"/>
  <c r="BP56" i="2"/>
  <c r="BR56" i="2"/>
  <c r="BS56" i="2"/>
  <c r="BQ41" i="2"/>
  <c r="BO41" i="2"/>
  <c r="BP41" i="2"/>
  <c r="BS41" i="2"/>
  <c r="BR41" i="2"/>
  <c r="BP26" i="2"/>
  <c r="BO26" i="2"/>
  <c r="BQ26" i="2"/>
  <c r="BS26" i="2"/>
  <c r="BR26" i="2"/>
  <c r="BP47" i="2"/>
  <c r="BO47" i="2"/>
  <c r="BQ47" i="2"/>
  <c r="BS47" i="2"/>
  <c r="BR47" i="2"/>
  <c r="BR66" i="2"/>
  <c r="BS66" i="2"/>
  <c r="BO66" i="2"/>
  <c r="BP66" i="2"/>
  <c r="BQ66" i="2"/>
  <c r="CO25" i="2"/>
  <c r="CP25" i="2" s="1"/>
  <c r="CT25" i="2" s="1"/>
  <c r="CU25" i="2" s="1"/>
  <c r="CO71" i="2"/>
  <c r="CP71" i="2" s="1"/>
  <c r="CT71" i="2" s="1"/>
  <c r="CU71" i="2" s="1"/>
  <c r="BP51" i="2"/>
  <c r="BO51" i="2"/>
  <c r="BS51" i="2"/>
  <c r="BQ51" i="2"/>
  <c r="BR51" i="2"/>
  <c r="BS63" i="2"/>
  <c r="BP63" i="2"/>
  <c r="BQ63" i="2"/>
  <c r="BR63" i="2"/>
  <c r="BO63" i="2"/>
  <c r="BR39" i="2"/>
  <c r="BO39" i="2"/>
  <c r="BP39" i="2"/>
  <c r="BQ39" i="2"/>
  <c r="BS39" i="2"/>
  <c r="BQ34" i="2"/>
  <c r="BR34" i="2"/>
  <c r="BS34" i="2"/>
  <c r="BO34" i="2"/>
  <c r="BP34" i="2"/>
  <c r="BR59" i="2"/>
  <c r="BS59" i="2"/>
  <c r="BP59" i="2"/>
  <c r="BO59" i="2"/>
  <c r="BQ59" i="2"/>
  <c r="BS38" i="2"/>
  <c r="BP38" i="2"/>
  <c r="BQ38" i="2"/>
  <c r="BR38" i="2"/>
  <c r="BO38" i="2"/>
  <c r="BR37" i="2"/>
  <c r="BS37" i="2"/>
  <c r="BO37" i="2"/>
  <c r="BP37" i="2"/>
  <c r="BQ37" i="2"/>
  <c r="BR69" i="2"/>
  <c r="BO69" i="2"/>
  <c r="BP69" i="2"/>
  <c r="BS69" i="2"/>
  <c r="BQ69" i="2"/>
  <c r="BR70" i="2"/>
  <c r="BO70" i="2"/>
  <c r="BQ70" i="2"/>
  <c r="BS70" i="2"/>
  <c r="BP70" i="2"/>
  <c r="BO62" i="2"/>
  <c r="BR62" i="2"/>
  <c r="BP62" i="2"/>
  <c r="BQ62" i="2"/>
  <c r="BS62" i="2"/>
  <c r="BQ50" i="2"/>
  <c r="BO50" i="2"/>
  <c r="BP50" i="2"/>
  <c r="BS50" i="2"/>
  <c r="BR50" i="2"/>
  <c r="CO45" i="2"/>
  <c r="CP45" i="2" s="1"/>
  <c r="CT45" i="2" s="1"/>
  <c r="CU45" i="2" s="1"/>
  <c r="CO63" i="2"/>
  <c r="CP63" i="2" s="1"/>
  <c r="CT63" i="2" s="1"/>
  <c r="CU63" i="2" s="1"/>
  <c r="BR29" i="2"/>
  <c r="BO29" i="2"/>
  <c r="BP29" i="2"/>
  <c r="BS29" i="2"/>
  <c r="BQ29" i="2"/>
  <c r="CO35" i="2"/>
  <c r="CP35" i="2" s="1"/>
  <c r="CT35" i="2" s="1"/>
  <c r="CU35" i="2" s="1"/>
  <c r="BQ32" i="2"/>
  <c r="BR32" i="2"/>
  <c r="BO32" i="2"/>
  <c r="BP32" i="2"/>
  <c r="BS32" i="2"/>
  <c r="BQ68" i="2"/>
  <c r="BS68" i="2"/>
  <c r="BO68" i="2"/>
  <c r="BP68" i="2"/>
  <c r="BR68" i="2"/>
  <c r="CO58" i="2"/>
  <c r="CP58" i="2" s="1"/>
  <c r="CT58" i="2" s="1"/>
  <c r="CU58" i="2" s="1"/>
  <c r="CO24" i="2"/>
  <c r="CP24" i="2" s="1"/>
  <c r="CT24" i="2" s="1"/>
  <c r="CU24" i="2" s="1"/>
  <c r="BO24" i="2"/>
  <c r="BP24" i="2"/>
  <c r="BQ24" i="2"/>
  <c r="BR24" i="2"/>
  <c r="BS24" i="2"/>
  <c r="AN75" i="4"/>
  <c r="AO75" i="4"/>
  <c r="AN72" i="4"/>
  <c r="AO72" i="4"/>
  <c r="AO81" i="4"/>
  <c r="AP81" i="4" s="1"/>
  <c r="AN81" i="4"/>
  <c r="AO65" i="4"/>
  <c r="AP65" i="4" s="1"/>
  <c r="AN65" i="4"/>
  <c r="AO60" i="4"/>
  <c r="AN60" i="4"/>
  <c r="AN62" i="4"/>
  <c r="AO62" i="4"/>
  <c r="AN34" i="4"/>
  <c r="AO34" i="4"/>
  <c r="AP34" i="4" s="1"/>
  <c r="AO27" i="4"/>
  <c r="AP27" i="4" s="1"/>
  <c r="AN27" i="4"/>
  <c r="AN45" i="4"/>
  <c r="AO45" i="4"/>
  <c r="AN61" i="4"/>
  <c r="AO61" i="4"/>
  <c r="AN41" i="4"/>
  <c r="AO41" i="4"/>
  <c r="AN88" i="4"/>
  <c r="AO88" i="4"/>
  <c r="AP88" i="4" s="1"/>
  <c r="AO44" i="4"/>
  <c r="AN44" i="4"/>
  <c r="AN53" i="4"/>
  <c r="AO53" i="4"/>
  <c r="AO64" i="4"/>
  <c r="AN64" i="4"/>
  <c r="AO28" i="4"/>
  <c r="AP28" i="4" s="1"/>
  <c r="AN28" i="4"/>
  <c r="AO92" i="4"/>
  <c r="AP92" i="4" s="1"/>
  <c r="AN92" i="4"/>
  <c r="AO26" i="4"/>
  <c r="AP26" i="4" s="1"/>
  <c r="AN26" i="4"/>
  <c r="AN42" i="4"/>
  <c r="AO42" i="4"/>
  <c r="AP42" i="4" s="1"/>
  <c r="AO33" i="4"/>
  <c r="AP33" i="4" s="1"/>
  <c r="AN33" i="4"/>
  <c r="AO86" i="4"/>
  <c r="AP86" i="4" s="1"/>
  <c r="AN86" i="4"/>
  <c r="AO35" i="4"/>
  <c r="AP35" i="4" s="1"/>
  <c r="AN35" i="4"/>
  <c r="AO54" i="4"/>
  <c r="AP54" i="4" s="1"/>
  <c r="AN54" i="4"/>
  <c r="AO36" i="4"/>
  <c r="AP36" i="4" s="1"/>
  <c r="AN36" i="4"/>
  <c r="AN57" i="4"/>
  <c r="AO57" i="4"/>
  <c r="AP57" i="4" s="1"/>
  <c r="AO55" i="4"/>
  <c r="AP55" i="4" s="1"/>
  <c r="AN55" i="4"/>
  <c r="AO48" i="4"/>
  <c r="AN48" i="4"/>
  <c r="AO83" i="4"/>
  <c r="AP83" i="4" s="1"/>
  <c r="AN83" i="4"/>
  <c r="AN24" i="4"/>
  <c r="AO24" i="4"/>
  <c r="AO37" i="4"/>
  <c r="AN37" i="4"/>
  <c r="AN25" i="4"/>
  <c r="AO25" i="4"/>
  <c r="AP25" i="4" s="1"/>
  <c r="AO71" i="4"/>
  <c r="AN71" i="4"/>
  <c r="AN66" i="4"/>
  <c r="AO66" i="4"/>
  <c r="AO73" i="4"/>
  <c r="AN73" i="4"/>
  <c r="AO82" i="4"/>
  <c r="AP82" i="4" s="1"/>
  <c r="AN82" i="4"/>
  <c r="AN30" i="4"/>
  <c r="AO30" i="4"/>
  <c r="AP30" i="4" s="1"/>
  <c r="AO52" i="4"/>
  <c r="AP52" i="4" s="1"/>
  <c r="AN52" i="4"/>
  <c r="AO84" i="4"/>
  <c r="AP84" i="4" s="1"/>
  <c r="AN84" i="4"/>
  <c r="AN50" i="4"/>
  <c r="AO50" i="4"/>
  <c r="AP50" i="4" s="1"/>
  <c r="AN31" i="4"/>
  <c r="AO31" i="4"/>
  <c r="AP31" i="4" s="1"/>
  <c r="AO79" i="4"/>
  <c r="AN79" i="4"/>
  <c r="AN47" i="4"/>
  <c r="AO47" i="4"/>
  <c r="AP47" i="4" s="1"/>
  <c r="AO40" i="4"/>
  <c r="AN40" i="4"/>
  <c r="AN32" i="4"/>
  <c r="AO32" i="4"/>
  <c r="AP32" i="4" s="1"/>
  <c r="AO49" i="4"/>
  <c r="AN49" i="4"/>
  <c r="AN77" i="4"/>
  <c r="AO77" i="4"/>
  <c r="AN59" i="4"/>
  <c r="AO59" i="4"/>
  <c r="AO29" i="4"/>
  <c r="AP29" i="4" s="1"/>
  <c r="AN29" i="4"/>
  <c r="A53" i="4"/>
  <c r="A54" i="4" s="1"/>
  <c r="A55" i="4" s="1"/>
  <c r="A52" i="4"/>
  <c r="AX65" i="4"/>
  <c r="AJ65" i="4"/>
  <c r="AE65" i="4"/>
  <c r="P65" i="4"/>
  <c r="Q65" i="4" s="1"/>
  <c r="I65" i="4"/>
  <c r="G65" i="4"/>
  <c r="D65" i="4"/>
  <c r="AZ20" i="7" l="1"/>
  <c r="V3" i="7" s="1"/>
  <c r="X3" i="7" s="1"/>
  <c r="AW20" i="7"/>
  <c r="U6" i="7" s="1"/>
  <c r="X6" i="7" s="1"/>
  <c r="A57" i="4"/>
  <c r="A58" i="4"/>
  <c r="A59" i="4" s="1"/>
  <c r="A60" i="4" s="1"/>
  <c r="A61" i="4" s="1"/>
  <c r="BF82" i="2"/>
  <c r="A62" i="4" l="1"/>
  <c r="A63" i="4"/>
  <c r="A64" i="4" s="1"/>
  <c r="A65" i="4" s="1"/>
  <c r="A66" i="4" s="1"/>
  <c r="A67" i="4" s="1"/>
  <c r="A68" i="4" s="1"/>
  <c r="A69" i="4" s="1"/>
  <c r="BI72" i="2"/>
  <c r="BI79" i="2"/>
  <c r="BI81" i="2"/>
  <c r="BI78" i="2"/>
  <c r="BI77" i="2"/>
  <c r="BI20" i="2"/>
  <c r="BI73" i="2"/>
  <c r="BI80" i="2"/>
  <c r="BI76" i="2"/>
  <c r="BI75" i="2"/>
  <c r="BI82" i="2"/>
  <c r="BI74" i="2"/>
  <c r="BK20" i="2" l="1"/>
  <c r="BK19" i="2" s="1"/>
  <c r="BI19" i="2"/>
  <c r="A70" i="4"/>
  <c r="A71" i="4"/>
  <c r="A72" i="4" s="1"/>
  <c r="AX45" i="4"/>
  <c r="AP45" i="4"/>
  <c r="AJ45" i="4"/>
  <c r="AE45" i="4"/>
  <c r="W45" i="4"/>
  <c r="P45" i="4"/>
  <c r="Q45" i="4" s="1"/>
  <c r="I45" i="4"/>
  <c r="G45" i="4"/>
  <c r="D45" i="4"/>
  <c r="AX44" i="4"/>
  <c r="AP44" i="4"/>
  <c r="AJ44" i="4"/>
  <c r="AE44" i="4"/>
  <c r="W44" i="4"/>
  <c r="P44" i="4"/>
  <c r="Q44" i="4" s="1"/>
  <c r="I44" i="4"/>
  <c r="G44" i="4"/>
  <c r="D44" i="4"/>
  <c r="G40" i="4"/>
  <c r="AX40" i="4"/>
  <c r="AP40" i="4"/>
  <c r="AJ40" i="4"/>
  <c r="AE40" i="4"/>
  <c r="W40" i="4"/>
  <c r="P40" i="4"/>
  <c r="Q40" i="4" s="1"/>
  <c r="M40" i="4"/>
  <c r="I40" i="4"/>
  <c r="D40" i="4"/>
  <c r="AX36" i="4"/>
  <c r="AJ36" i="4"/>
  <c r="AE36" i="4"/>
  <c r="W36" i="4"/>
  <c r="Q36" i="4"/>
  <c r="M36" i="4"/>
  <c r="K36" i="4"/>
  <c r="I36" i="4"/>
  <c r="G36" i="4"/>
  <c r="D36" i="4"/>
  <c r="AX33" i="4"/>
  <c r="AJ33" i="4"/>
  <c r="AE33" i="4"/>
  <c r="W33" i="4"/>
  <c r="Q33" i="4"/>
  <c r="M33" i="4"/>
  <c r="K33" i="4"/>
  <c r="I33" i="4"/>
  <c r="G33" i="4"/>
  <c r="D33" i="4"/>
  <c r="AX30" i="4"/>
  <c r="AJ30" i="4"/>
  <c r="AE30" i="4"/>
  <c r="W30" i="4"/>
  <c r="P30" i="4"/>
  <c r="Q30" i="4" s="1"/>
  <c r="M30" i="4"/>
  <c r="K30" i="4"/>
  <c r="I30" i="4"/>
  <c r="G30" i="4"/>
  <c r="D30" i="4"/>
  <c r="AX29" i="4"/>
  <c r="AJ29" i="4"/>
  <c r="AE29" i="4"/>
  <c r="W29" i="4"/>
  <c r="P29" i="4"/>
  <c r="Q29" i="4" s="1"/>
  <c r="M29" i="4"/>
  <c r="K29" i="4"/>
  <c r="I29" i="4"/>
  <c r="G29" i="4"/>
  <c r="D29" i="4"/>
  <c r="AX27" i="4"/>
  <c r="AJ27" i="4"/>
  <c r="AE27" i="4"/>
  <c r="W27" i="4"/>
  <c r="Q27" i="4"/>
  <c r="M27" i="4"/>
  <c r="K27" i="4"/>
  <c r="R25" i="7" s="1"/>
  <c r="R20" i="7" s="1"/>
  <c r="I27" i="4"/>
  <c r="G27" i="4"/>
  <c r="D27" i="4"/>
  <c r="AX60" i="4"/>
  <c r="AP60" i="4"/>
  <c r="AJ60" i="4"/>
  <c r="AE60" i="4"/>
  <c r="W60" i="4"/>
  <c r="P60" i="4"/>
  <c r="Q60" i="4" s="1"/>
  <c r="I60" i="4"/>
  <c r="G60" i="4"/>
  <c r="D60" i="4"/>
  <c r="AX39" i="4"/>
  <c r="AJ39" i="4"/>
  <c r="W39" i="4"/>
  <c r="P39" i="4"/>
  <c r="Q39" i="4" s="1"/>
  <c r="M39" i="4"/>
  <c r="G39" i="4"/>
  <c r="G26" i="4"/>
  <c r="G28" i="4"/>
  <c r="G31" i="4"/>
  <c r="G32" i="4"/>
  <c r="G34" i="4"/>
  <c r="G35" i="4"/>
  <c r="G37" i="4"/>
  <c r="G41" i="4"/>
  <c r="G25" i="4"/>
  <c r="AP24" i="4"/>
  <c r="D38" i="2"/>
  <c r="AX35" i="2"/>
  <c r="AY35" i="2" s="1"/>
  <c r="AX37" i="2"/>
  <c r="AY37" i="2" s="1"/>
  <c r="AX38" i="2"/>
  <c r="AY38" i="2" s="1"/>
  <c r="AX39" i="2"/>
  <c r="AX41" i="2"/>
  <c r="AY41" i="2" s="1"/>
  <c r="AX42" i="2"/>
  <c r="AX44" i="2"/>
  <c r="AY44" i="2" s="1"/>
  <c r="AX45" i="2"/>
  <c r="AX47" i="2"/>
  <c r="AY47" i="2" s="1"/>
  <c r="AX48" i="2"/>
  <c r="AY48" i="2" s="1"/>
  <c r="AX49" i="2"/>
  <c r="AX50" i="2"/>
  <c r="AY50" i="2" s="1"/>
  <c r="AX51" i="2"/>
  <c r="AY51" i="2" s="1"/>
  <c r="AX52" i="2"/>
  <c r="AY52" i="2" s="1"/>
  <c r="AX53" i="2"/>
  <c r="AY53" i="2" s="1"/>
  <c r="AX54" i="2"/>
  <c r="AY54" i="2" s="1"/>
  <c r="AX55" i="2"/>
  <c r="AY55" i="2" s="1"/>
  <c r="AX56" i="2"/>
  <c r="AY56" i="2" s="1"/>
  <c r="AX57" i="2"/>
  <c r="AY57" i="2" s="1"/>
  <c r="AX58" i="2"/>
  <c r="AX59" i="2"/>
  <c r="AX60" i="2"/>
  <c r="AX61" i="2"/>
  <c r="AY61" i="2" s="1"/>
  <c r="AX62" i="2"/>
  <c r="AY62" i="2" s="1"/>
  <c r="AX63" i="2"/>
  <c r="AX64" i="2"/>
  <c r="AX65" i="2"/>
  <c r="AX66" i="2"/>
  <c r="AY66" i="2" s="1"/>
  <c r="AX68" i="2"/>
  <c r="AY68" i="2" s="1"/>
  <c r="AX69" i="2"/>
  <c r="AY69" i="2" s="1"/>
  <c r="AX70" i="2"/>
  <c r="AY70" i="2" s="1"/>
  <c r="AX72" i="2"/>
  <c r="AX73" i="2"/>
  <c r="AX74" i="2"/>
  <c r="AX75" i="2"/>
  <c r="AX76" i="2"/>
  <c r="BD76" i="2" s="1"/>
  <c r="AX77" i="2"/>
  <c r="BD77" i="2" s="1"/>
  <c r="AX78" i="2"/>
  <c r="BD78" i="2" s="1"/>
  <c r="AX79" i="2"/>
  <c r="BD79" i="2" s="1"/>
  <c r="AX80" i="2"/>
  <c r="BD80" i="2" s="1"/>
  <c r="AX81" i="2"/>
  <c r="BD81" i="2" s="1"/>
  <c r="AX82" i="2"/>
  <c r="BD82" i="2" s="1"/>
  <c r="AX21" i="2"/>
  <c r="AX22" i="2"/>
  <c r="BD22" i="2" s="1"/>
  <c r="AX24" i="2"/>
  <c r="AX25" i="2"/>
  <c r="AY25" i="2" s="1"/>
  <c r="BA25" i="2" s="1"/>
  <c r="AX26" i="2"/>
  <c r="AY26" i="2" s="1"/>
  <c r="BA26" i="2" s="1"/>
  <c r="AX27" i="2"/>
  <c r="AY27" i="2" s="1"/>
  <c r="BA27" i="2" s="1"/>
  <c r="AX28" i="2"/>
  <c r="AY28" i="2" s="1"/>
  <c r="BA28" i="2" s="1"/>
  <c r="AX29" i="2"/>
  <c r="AY29" i="2" s="1"/>
  <c r="BA29" i="2" s="1"/>
  <c r="AX30" i="2"/>
  <c r="AY30" i="2" s="1"/>
  <c r="BA30" i="2" s="1"/>
  <c r="AX31" i="2"/>
  <c r="AY31" i="2" s="1"/>
  <c r="BA31" i="2" s="1"/>
  <c r="AX32" i="2"/>
  <c r="AY32" i="2" s="1"/>
  <c r="BA32" i="2" s="1"/>
  <c r="AX33" i="2"/>
  <c r="AY33" i="2" s="1"/>
  <c r="BA33" i="2" s="1"/>
  <c r="AX34" i="2"/>
  <c r="AY34" i="2" s="1"/>
  <c r="AX20" i="2"/>
  <c r="AG21" i="2"/>
  <c r="AG20" i="2"/>
  <c r="X39" i="4" l="1"/>
  <c r="AM39" i="4"/>
  <c r="K39" i="4"/>
  <c r="A73" i="4"/>
  <c r="A74" i="4"/>
  <c r="A75" i="4" s="1"/>
  <c r="A76" i="4" s="1"/>
  <c r="AY73" i="2"/>
  <c r="BA73" i="2" s="1"/>
  <c r="BD73" i="2"/>
  <c r="AY72" i="2"/>
  <c r="BA72" i="2" s="1"/>
  <c r="BD72" i="2"/>
  <c r="BA54" i="2"/>
  <c r="BA66" i="2"/>
  <c r="AY58" i="2"/>
  <c r="AU58" i="2" s="1"/>
  <c r="BD58" i="2"/>
  <c r="BA50" i="2"/>
  <c r="AY39" i="2"/>
  <c r="AV39" i="2" s="1"/>
  <c r="BD39" i="2"/>
  <c r="AY75" i="2"/>
  <c r="BA75" i="2" s="1"/>
  <c r="BD75" i="2"/>
  <c r="AY65" i="2"/>
  <c r="BD65" i="2"/>
  <c r="BA57" i="2"/>
  <c r="AY49" i="2"/>
  <c r="AU49" i="2" s="1"/>
  <c r="BD49" i="2"/>
  <c r="BA38" i="2"/>
  <c r="AY63" i="2"/>
  <c r="AV63" i="2" s="1"/>
  <c r="BD63" i="2"/>
  <c r="BA34" i="2"/>
  <c r="AY74" i="2"/>
  <c r="BA74" i="2" s="1"/>
  <c r="BD74" i="2"/>
  <c r="AY64" i="2"/>
  <c r="AU64" i="2" s="1"/>
  <c r="BD64" i="2"/>
  <c r="BA56" i="2"/>
  <c r="BA48" i="2"/>
  <c r="BA37" i="2"/>
  <c r="BA55" i="2"/>
  <c r="AY45" i="2"/>
  <c r="AU45" i="2" s="1"/>
  <c r="BD45" i="2"/>
  <c r="BA70" i="2"/>
  <c r="BA61" i="2"/>
  <c r="BA53" i="2"/>
  <c r="BA44" i="2"/>
  <c r="BA35" i="2"/>
  <c r="BA69" i="2"/>
  <c r="AY60" i="2"/>
  <c r="AV60" i="2" s="1"/>
  <c r="BD60" i="2"/>
  <c r="BA52" i="2"/>
  <c r="AY42" i="2"/>
  <c r="AU42" i="2" s="1"/>
  <c r="BD42" i="2"/>
  <c r="BA47" i="2"/>
  <c r="BA62" i="2"/>
  <c r="AY24" i="2"/>
  <c r="BA24" i="2" s="1"/>
  <c r="BD24" i="2"/>
  <c r="BA68" i="2"/>
  <c r="AY59" i="2"/>
  <c r="AU59" i="2" s="1"/>
  <c r="BD59" i="2"/>
  <c r="BA51" i="2"/>
  <c r="BA41" i="2"/>
  <c r="F19" i="2"/>
  <c r="AU53" i="2"/>
  <c r="AV53" i="2"/>
  <c r="BE53" i="2" s="1"/>
  <c r="AV66" i="2"/>
  <c r="BE66" i="2" s="1"/>
  <c r="AU66" i="2"/>
  <c r="AV30" i="2"/>
  <c r="BE30" i="2" s="1"/>
  <c r="AU30" i="2"/>
  <c r="AV57" i="2"/>
  <c r="BE57" i="2" s="1"/>
  <c r="AU57" i="2"/>
  <c r="AV38" i="2"/>
  <c r="BE38" i="2" s="1"/>
  <c r="AU38" i="2"/>
  <c r="AU29" i="2"/>
  <c r="AV29" i="2"/>
  <c r="BE29" i="2" s="1"/>
  <c r="AU56" i="2"/>
  <c r="AV56" i="2"/>
  <c r="BE56" i="2" s="1"/>
  <c r="AU48" i="2"/>
  <c r="AV48" i="2"/>
  <c r="BE48" i="2" s="1"/>
  <c r="AU37" i="2"/>
  <c r="AV37" i="2"/>
  <c r="BE37" i="2" s="1"/>
  <c r="AU26" i="2"/>
  <c r="AV26" i="2"/>
  <c r="BE26" i="2" s="1"/>
  <c r="AU61" i="2"/>
  <c r="AV61" i="2"/>
  <c r="BE61" i="2" s="1"/>
  <c r="AU31" i="2"/>
  <c r="AV31" i="2"/>
  <c r="BE31" i="2" s="1"/>
  <c r="AU50" i="2"/>
  <c r="AV50" i="2"/>
  <c r="BE50" i="2" s="1"/>
  <c r="AU28" i="2"/>
  <c r="AV28" i="2"/>
  <c r="BE28" i="2" s="1"/>
  <c r="AU55" i="2"/>
  <c r="AV55" i="2"/>
  <c r="BE55" i="2" s="1"/>
  <c r="AU47" i="2"/>
  <c r="AV47" i="2"/>
  <c r="BE47" i="2" s="1"/>
  <c r="AU35" i="2"/>
  <c r="AV35" i="2"/>
  <c r="BE35" i="2" s="1"/>
  <c r="AU27" i="2"/>
  <c r="AV27" i="2"/>
  <c r="BE27" i="2" s="1"/>
  <c r="AU62" i="2"/>
  <c r="AV62" i="2"/>
  <c r="BE62" i="2" s="1"/>
  <c r="AU54" i="2"/>
  <c r="AV54" i="2"/>
  <c r="BE54" i="2" s="1"/>
  <c r="AU34" i="2"/>
  <c r="AV34" i="2"/>
  <c r="BE34" i="2" s="1"/>
  <c r="AU70" i="2"/>
  <c r="AV70" i="2"/>
  <c r="BE70" i="2" s="1"/>
  <c r="AU44" i="2"/>
  <c r="AV44" i="2"/>
  <c r="BE44" i="2" s="1"/>
  <c r="AU33" i="2"/>
  <c r="AV33" i="2"/>
  <c r="BE33" i="2" s="1"/>
  <c r="AU25" i="2"/>
  <c r="AV25" i="2"/>
  <c r="BE25" i="2" s="1"/>
  <c r="AU69" i="2"/>
  <c r="AV69" i="2"/>
  <c r="BE69" i="2" s="1"/>
  <c r="AU52" i="2"/>
  <c r="AV52" i="2"/>
  <c r="BE52" i="2" s="1"/>
  <c r="AU32" i="2"/>
  <c r="AV32" i="2"/>
  <c r="BE32" i="2" s="1"/>
  <c r="AU68" i="2"/>
  <c r="AV68" i="2"/>
  <c r="BE68" i="2" s="1"/>
  <c r="AU51" i="2"/>
  <c r="AV51" i="2"/>
  <c r="BE51" i="2" s="1"/>
  <c r="AU41" i="2"/>
  <c r="AV41" i="2"/>
  <c r="BE41" i="2" s="1"/>
  <c r="D19" i="2"/>
  <c r="AP19" i="2"/>
  <c r="AY20" i="2"/>
  <c r="AM30" i="2"/>
  <c r="AN30" i="2"/>
  <c r="AN32" i="2"/>
  <c r="AI21" i="2"/>
  <c r="AI22" i="2"/>
  <c r="AI72" i="2"/>
  <c r="BM72" i="2" s="1"/>
  <c r="AI73" i="2"/>
  <c r="BM73" i="2" s="1"/>
  <c r="AI74" i="2"/>
  <c r="BM74" i="2" s="1"/>
  <c r="AI75" i="2"/>
  <c r="BM75" i="2" s="1"/>
  <c r="AI76" i="2"/>
  <c r="BM76" i="2" s="1"/>
  <c r="AI77" i="2"/>
  <c r="BM77" i="2" s="1"/>
  <c r="AI78" i="2"/>
  <c r="BM78" i="2" s="1"/>
  <c r="AI79" i="2"/>
  <c r="BM79" i="2" s="1"/>
  <c r="AI80" i="2"/>
  <c r="BM80" i="2" s="1"/>
  <c r="AI81" i="2"/>
  <c r="BM81" i="2" s="1"/>
  <c r="AI82" i="2"/>
  <c r="BM82" i="2" s="1"/>
  <c r="AI20" i="2"/>
  <c r="Z19" i="2"/>
  <c r="K18" i="2"/>
  <c r="C19" i="2"/>
  <c r="AW23" i="4"/>
  <c r="AV23" i="4"/>
  <c r="AD23" i="4"/>
  <c r="D59" i="4"/>
  <c r="G59" i="4"/>
  <c r="I59" i="4"/>
  <c r="P59" i="4"/>
  <c r="Q59" i="4" s="1"/>
  <c r="W59" i="4"/>
  <c r="AE59" i="4"/>
  <c r="AJ59" i="4"/>
  <c r="AP59" i="4"/>
  <c r="AX59" i="4"/>
  <c r="D61" i="4"/>
  <c r="G61" i="4"/>
  <c r="I61" i="4"/>
  <c r="Q61" i="4"/>
  <c r="W61" i="4"/>
  <c r="AE61" i="4"/>
  <c r="AJ61" i="4"/>
  <c r="AP61" i="4"/>
  <c r="AX61" i="4"/>
  <c r="D62" i="4"/>
  <c r="G62" i="4"/>
  <c r="I62" i="4"/>
  <c r="Q62" i="4"/>
  <c r="W62" i="4"/>
  <c r="AE62" i="4"/>
  <c r="AJ62" i="4"/>
  <c r="AP62" i="4"/>
  <c r="AX62" i="4"/>
  <c r="G64" i="4"/>
  <c r="AJ64" i="4"/>
  <c r="AX64" i="4"/>
  <c r="D66" i="4"/>
  <c r="G66" i="4"/>
  <c r="I66" i="4"/>
  <c r="Q66" i="4"/>
  <c r="W66" i="4"/>
  <c r="AE66" i="4"/>
  <c r="AJ66" i="4"/>
  <c r="AP66" i="4"/>
  <c r="AX66" i="4"/>
  <c r="D72" i="4"/>
  <c r="G72" i="4"/>
  <c r="I72" i="4"/>
  <c r="P72" i="4"/>
  <c r="Q72" i="4" s="1"/>
  <c r="W72" i="4"/>
  <c r="AE72" i="4"/>
  <c r="AJ72" i="4"/>
  <c r="AP72" i="4"/>
  <c r="AX72" i="4"/>
  <c r="D73" i="4"/>
  <c r="G73" i="4"/>
  <c r="I73" i="4"/>
  <c r="P73" i="4"/>
  <c r="Q73" i="4" s="1"/>
  <c r="W73" i="4"/>
  <c r="AE73" i="4"/>
  <c r="AJ73" i="4"/>
  <c r="AP73" i="4"/>
  <c r="AX73" i="4"/>
  <c r="D75" i="4"/>
  <c r="G75" i="4"/>
  <c r="I75" i="4"/>
  <c r="P75" i="4"/>
  <c r="Q75" i="4" s="1"/>
  <c r="W75" i="4"/>
  <c r="AE75" i="4"/>
  <c r="AJ75" i="4"/>
  <c r="AP75" i="4"/>
  <c r="AX75" i="4"/>
  <c r="D77" i="4"/>
  <c r="G77" i="4"/>
  <c r="I77" i="4"/>
  <c r="P77" i="4"/>
  <c r="Q77" i="4" s="1"/>
  <c r="W77" i="4"/>
  <c r="AE77" i="4"/>
  <c r="AJ77" i="4"/>
  <c r="AP77" i="4"/>
  <c r="AX77" i="4"/>
  <c r="D79" i="4"/>
  <c r="G79" i="4"/>
  <c r="I79" i="4"/>
  <c r="Q79" i="4"/>
  <c r="W79" i="4"/>
  <c r="AE79" i="4"/>
  <c r="AJ79" i="4"/>
  <c r="AP79" i="4"/>
  <c r="AX79" i="4"/>
  <c r="AV58" i="2" l="1"/>
  <c r="BE58" i="2" s="1"/>
  <c r="AV49" i="2"/>
  <c r="BE49" i="2" s="1"/>
  <c r="AU60" i="2"/>
  <c r="AV74" i="2"/>
  <c r="BB15" i="2"/>
  <c r="BI14" i="2"/>
  <c r="AO39" i="4"/>
  <c r="AN39" i="4"/>
  <c r="Y39" i="4"/>
  <c r="AE39" i="4"/>
  <c r="A78" i="4"/>
  <c r="A77" i="4"/>
  <c r="AV72" i="2"/>
  <c r="AV42" i="2"/>
  <c r="BE42" i="2" s="1"/>
  <c r="AV64" i="2"/>
  <c r="BE64" i="2" s="1"/>
  <c r="AU74" i="2"/>
  <c r="AU72" i="2"/>
  <c r="AV59" i="2"/>
  <c r="BE59" i="2" s="1"/>
  <c r="AV45" i="2"/>
  <c r="BE45" i="2" s="1"/>
  <c r="AV73" i="2"/>
  <c r="AU39" i="2"/>
  <c r="BD19" i="2"/>
  <c r="BA64" i="2"/>
  <c r="BA65" i="2"/>
  <c r="AU63" i="2"/>
  <c r="AV24" i="2"/>
  <c r="BE24" i="2" s="1"/>
  <c r="AV65" i="2"/>
  <c r="BE65" i="2" s="1"/>
  <c r="AU73" i="2"/>
  <c r="AU65" i="2"/>
  <c r="BA49" i="2"/>
  <c r="AV75" i="2"/>
  <c r="BA59" i="2"/>
  <c r="BA45" i="2"/>
  <c r="BA39" i="2"/>
  <c r="BE39" i="2"/>
  <c r="BA42" i="2"/>
  <c r="BA58" i="2"/>
  <c r="AU24" i="2"/>
  <c r="BA60" i="2"/>
  <c r="BE60" i="2"/>
  <c r="AU75" i="2"/>
  <c r="BA63" i="2"/>
  <c r="BE63" i="2"/>
  <c r="C23" i="4"/>
  <c r="BA20" i="2"/>
  <c r="AV20" i="2"/>
  <c r="AN20" i="2"/>
  <c r="I64" i="4"/>
  <c r="Y64" i="4"/>
  <c r="AP64" i="4" s="1"/>
  <c r="D64" i="4"/>
  <c r="W64" i="4"/>
  <c r="Q64" i="4"/>
  <c r="AE64" i="4"/>
  <c r="Y72" i="2"/>
  <c r="Y73" i="2"/>
  <c r="Y74" i="2"/>
  <c r="Y75" i="2"/>
  <c r="Y76" i="2"/>
  <c r="Y77" i="2"/>
  <c r="Y78" i="2"/>
  <c r="Y79" i="2"/>
  <c r="Y80" i="2"/>
  <c r="Y81" i="2"/>
  <c r="Y82" i="2"/>
  <c r="DU66" i="2"/>
  <c r="DR66" i="2"/>
  <c r="DQ66" i="2"/>
  <c r="DP66" i="2"/>
  <c r="DN66" i="2"/>
  <c r="DJ66" i="2"/>
  <c r="DI66" i="2"/>
  <c r="DH66" i="2"/>
  <c r="DG66" i="2"/>
  <c r="DE66" i="2"/>
  <c r="DF66" i="2"/>
  <c r="DL66" i="2"/>
  <c r="DU65" i="2"/>
  <c r="DR65" i="2"/>
  <c r="DQ65" i="2"/>
  <c r="DP65" i="2"/>
  <c r="DN65" i="2"/>
  <c r="DJ65" i="2"/>
  <c r="DI65" i="2"/>
  <c r="DG65" i="2"/>
  <c r="DE65" i="2"/>
  <c r="AG65" i="2"/>
  <c r="DF65" i="2"/>
  <c r="DL65" i="2"/>
  <c r="DU64" i="2"/>
  <c r="DR64" i="2"/>
  <c r="DQ64" i="2"/>
  <c r="DP64" i="2"/>
  <c r="DN64" i="2"/>
  <c r="DI64" i="2"/>
  <c r="DE64" i="2"/>
  <c r="AG64" i="2"/>
  <c r="DL64" i="2"/>
  <c r="DU63" i="2"/>
  <c r="DR63" i="2"/>
  <c r="DQ63" i="2"/>
  <c r="DP63" i="2"/>
  <c r="DJ63" i="2"/>
  <c r="DH63" i="2"/>
  <c r="DE63" i="2"/>
  <c r="AG63" i="2"/>
  <c r="DF63" i="2"/>
  <c r="DL63" i="2"/>
  <c r="DU62" i="2"/>
  <c r="DR62" i="2"/>
  <c r="DQ62" i="2"/>
  <c r="DP62" i="2"/>
  <c r="DN62" i="2"/>
  <c r="DK62" i="2"/>
  <c r="DJ62" i="2"/>
  <c r="DH62" i="2"/>
  <c r="DE62" i="2"/>
  <c r="DF62" i="2"/>
  <c r="DL62" i="2"/>
  <c r="DU61" i="2"/>
  <c r="DR61" i="2"/>
  <c r="DQ61" i="2"/>
  <c r="DP61" i="2"/>
  <c r="DN61" i="2"/>
  <c r="DK61" i="2"/>
  <c r="DJ61" i="2"/>
  <c r="DH61" i="2"/>
  <c r="DG61" i="2"/>
  <c r="DE61" i="2"/>
  <c r="DF61" i="2"/>
  <c r="DL61" i="2"/>
  <c r="DU60" i="2"/>
  <c r="DR60" i="2"/>
  <c r="DQ60" i="2"/>
  <c r="DP60" i="2"/>
  <c r="DN60" i="2"/>
  <c r="DJ60" i="2"/>
  <c r="DI60" i="2"/>
  <c r="DG60" i="2"/>
  <c r="DE60" i="2"/>
  <c r="AG60" i="2"/>
  <c r="DF60" i="2"/>
  <c r="DL60" i="2"/>
  <c r="DU59" i="2"/>
  <c r="DR59" i="2"/>
  <c r="DQ59" i="2"/>
  <c r="DP59" i="2"/>
  <c r="DE59" i="2"/>
  <c r="DL59" i="2"/>
  <c r="DU58" i="2"/>
  <c r="DR58" i="2"/>
  <c r="DQ58" i="2"/>
  <c r="DP58" i="2"/>
  <c r="DI58" i="2"/>
  <c r="DE58" i="2"/>
  <c r="DL58" i="2"/>
  <c r="DU57" i="2"/>
  <c r="DR57" i="2"/>
  <c r="DQ57" i="2"/>
  <c r="DP57" i="2"/>
  <c r="DG57" i="2"/>
  <c r="DE57" i="2"/>
  <c r="DL57" i="2"/>
  <c r="DU56" i="2"/>
  <c r="DR56" i="2"/>
  <c r="DQ56" i="2"/>
  <c r="DP56" i="2"/>
  <c r="DN56" i="2"/>
  <c r="DK56" i="2"/>
  <c r="DH56" i="2"/>
  <c r="DG56" i="2"/>
  <c r="DE56" i="2"/>
  <c r="DL56" i="2"/>
  <c r="DU55" i="2"/>
  <c r="DR55" i="2"/>
  <c r="DQ55" i="2"/>
  <c r="DP55" i="2"/>
  <c r="DN55" i="2"/>
  <c r="DI55" i="2"/>
  <c r="DH55" i="2"/>
  <c r="DE55" i="2"/>
  <c r="DU54" i="2"/>
  <c r="DR54" i="2"/>
  <c r="DQ54" i="2"/>
  <c r="DP54" i="2"/>
  <c r="DN54" i="2"/>
  <c r="DI54" i="2"/>
  <c r="DH54" i="2"/>
  <c r="DE54" i="2"/>
  <c r="DL54" i="2"/>
  <c r="DL96" i="2"/>
  <c r="DN93" i="2"/>
  <c r="DG92" i="2"/>
  <c r="DD91" i="2"/>
  <c r="DN90" i="2"/>
  <c r="DK89" i="2"/>
  <c r="DG86" i="2"/>
  <c r="DG84" i="2"/>
  <c r="DK85" i="2"/>
  <c r="DD83" i="2"/>
  <c r="DH82" i="2"/>
  <c r="DN87" i="2"/>
  <c r="DI88" i="2"/>
  <c r="DN94" i="2"/>
  <c r="DI95" i="2"/>
  <c r="DN81" i="2"/>
  <c r="DL80" i="2"/>
  <c r="DI78" i="2"/>
  <c r="DL79" i="2"/>
  <c r="DH72" i="2"/>
  <c r="DN73" i="2"/>
  <c r="DK74" i="2"/>
  <c r="DN75" i="2"/>
  <c r="DG76" i="2"/>
  <c r="DG70" i="2"/>
  <c r="DU33" i="2"/>
  <c r="DR33" i="2"/>
  <c r="DQ33" i="2"/>
  <c r="DP33" i="2"/>
  <c r="DN33" i="2"/>
  <c r="DK33" i="2"/>
  <c r="DJ33" i="2"/>
  <c r="DI33" i="2"/>
  <c r="DH33" i="2"/>
  <c r="DE33" i="2"/>
  <c r="DF33" i="2"/>
  <c r="DG33" i="2"/>
  <c r="DH52" i="2"/>
  <c r="DL51" i="2"/>
  <c r="DG50" i="2"/>
  <c r="DJ49" i="2"/>
  <c r="DK48" i="2"/>
  <c r="DH44" i="2"/>
  <c r="DH42" i="2"/>
  <c r="DN39" i="2"/>
  <c r="DL38" i="2"/>
  <c r="DK45" i="2"/>
  <c r="DH47" i="2"/>
  <c r="DK37" i="2"/>
  <c r="AM27" i="2"/>
  <c r="DU99" i="2"/>
  <c r="DR99" i="2"/>
  <c r="DQ99" i="2"/>
  <c r="DP99" i="2"/>
  <c r="DN99" i="2"/>
  <c r="DL99" i="2"/>
  <c r="DK99" i="2"/>
  <c r="DJ99" i="2"/>
  <c r="DI99" i="2"/>
  <c r="DH99" i="2"/>
  <c r="DG99" i="2"/>
  <c r="DE99" i="2"/>
  <c r="DD99" i="2"/>
  <c r="DF99" i="2"/>
  <c r="A99" i="2"/>
  <c r="DU98" i="2"/>
  <c r="DR98" i="2"/>
  <c r="DQ98" i="2"/>
  <c r="DP98" i="2"/>
  <c r="DN98" i="2"/>
  <c r="DL98" i="2"/>
  <c r="DK98" i="2"/>
  <c r="DJ98" i="2"/>
  <c r="DI98" i="2"/>
  <c r="DH98" i="2"/>
  <c r="DG98" i="2"/>
  <c r="DE98" i="2"/>
  <c r="DD98" i="2"/>
  <c r="DF98" i="2"/>
  <c r="A98" i="2"/>
  <c r="DU97" i="2"/>
  <c r="DR97" i="2"/>
  <c r="DQ97" i="2"/>
  <c r="DP97" i="2"/>
  <c r="DN97" i="2"/>
  <c r="DL97" i="2"/>
  <c r="DK97" i="2"/>
  <c r="DJ97" i="2"/>
  <c r="DI97" i="2"/>
  <c r="DH97" i="2"/>
  <c r="DG97" i="2"/>
  <c r="DE97" i="2"/>
  <c r="DD97" i="2"/>
  <c r="DF97" i="2"/>
  <c r="A97" i="2"/>
  <c r="DU96" i="2"/>
  <c r="DR96" i="2"/>
  <c r="DQ96" i="2"/>
  <c r="DP96" i="2"/>
  <c r="DN96" i="2"/>
  <c r="DE96" i="2"/>
  <c r="DD96" i="2"/>
  <c r="A96" i="2"/>
  <c r="DU95" i="2"/>
  <c r="DR95" i="2"/>
  <c r="DQ95" i="2"/>
  <c r="DP95" i="2"/>
  <c r="DE95" i="2"/>
  <c r="A95" i="2"/>
  <c r="DU94" i="2"/>
  <c r="DR94" i="2"/>
  <c r="DQ94" i="2"/>
  <c r="DP94" i="2"/>
  <c r="DE94" i="2"/>
  <c r="A94" i="2"/>
  <c r="DU93" i="2"/>
  <c r="DR93" i="2"/>
  <c r="DQ93" i="2"/>
  <c r="DP93" i="2"/>
  <c r="DE93" i="2"/>
  <c r="A93" i="2"/>
  <c r="DU92" i="2"/>
  <c r="DR92" i="2"/>
  <c r="DQ92" i="2"/>
  <c r="DP92" i="2"/>
  <c r="DE92" i="2"/>
  <c r="A92" i="2"/>
  <c r="DU91" i="2"/>
  <c r="DR91" i="2"/>
  <c r="DQ91" i="2"/>
  <c r="DP91" i="2"/>
  <c r="DE91" i="2"/>
  <c r="A91" i="2"/>
  <c r="DU90" i="2"/>
  <c r="DR90" i="2"/>
  <c r="DQ90" i="2"/>
  <c r="DP90" i="2"/>
  <c r="DE90" i="2"/>
  <c r="A90" i="2"/>
  <c r="DU89" i="2"/>
  <c r="DR89" i="2"/>
  <c r="DQ89" i="2"/>
  <c r="DP89" i="2"/>
  <c r="DE89" i="2"/>
  <c r="A89" i="2"/>
  <c r="DU88" i="2"/>
  <c r="DR88" i="2"/>
  <c r="DQ88" i="2"/>
  <c r="DP88" i="2"/>
  <c r="DE88" i="2"/>
  <c r="A88" i="2"/>
  <c r="DU87" i="2"/>
  <c r="DR87" i="2"/>
  <c r="DQ87" i="2"/>
  <c r="DP87" i="2"/>
  <c r="DE87" i="2"/>
  <c r="A87" i="2"/>
  <c r="DU86" i="2"/>
  <c r="DR86" i="2"/>
  <c r="DQ86" i="2"/>
  <c r="DP86" i="2"/>
  <c r="DE86" i="2"/>
  <c r="A86" i="2"/>
  <c r="DU85" i="2"/>
  <c r="DR85" i="2"/>
  <c r="DQ85" i="2"/>
  <c r="DP85" i="2"/>
  <c r="DE85" i="2"/>
  <c r="A85" i="2"/>
  <c r="DU84" i="2"/>
  <c r="DR84" i="2"/>
  <c r="DQ84" i="2"/>
  <c r="DP84" i="2"/>
  <c r="DK84" i="2"/>
  <c r="DJ84" i="2"/>
  <c r="DI84" i="2"/>
  <c r="DH84" i="2"/>
  <c r="DE84" i="2"/>
  <c r="DF84" i="2"/>
  <c r="A84" i="2"/>
  <c r="DU83" i="2"/>
  <c r="DR83" i="2"/>
  <c r="DQ83" i="2"/>
  <c r="DP83" i="2"/>
  <c r="DE83" i="2"/>
  <c r="A83" i="2"/>
  <c r="DU82" i="2"/>
  <c r="DR82" i="2"/>
  <c r="DQ82" i="2"/>
  <c r="DP82" i="2"/>
  <c r="DE82" i="2"/>
  <c r="AY82" i="2"/>
  <c r="BA82" i="2" s="1"/>
  <c r="AJ82" i="2"/>
  <c r="AG82" i="2"/>
  <c r="AC82" i="2"/>
  <c r="A82" i="2"/>
  <c r="DU81" i="2"/>
  <c r="DR81" i="2"/>
  <c r="DQ81" i="2"/>
  <c r="DP81" i="2"/>
  <c r="DE81" i="2"/>
  <c r="AY81" i="2"/>
  <c r="BA81" i="2" s="1"/>
  <c r="AJ81" i="2"/>
  <c r="AG81" i="2"/>
  <c r="AC81" i="2"/>
  <c r="DU80" i="2"/>
  <c r="DR80" i="2"/>
  <c r="DQ80" i="2"/>
  <c r="DP80" i="2"/>
  <c r="DE80" i="2"/>
  <c r="DD80" i="2"/>
  <c r="AY80" i="2"/>
  <c r="BA80" i="2" s="1"/>
  <c r="AJ80" i="2"/>
  <c r="AG80" i="2"/>
  <c r="AC80" i="2"/>
  <c r="DF80" i="2" s="1"/>
  <c r="DU79" i="2"/>
  <c r="DR79" i="2"/>
  <c r="DQ79" i="2"/>
  <c r="DP79" i="2"/>
  <c r="DE79" i="2"/>
  <c r="AY79" i="2"/>
  <c r="BA79" i="2" s="1"/>
  <c r="AJ79" i="2"/>
  <c r="AG79" i="2"/>
  <c r="AC79" i="2"/>
  <c r="DU78" i="2"/>
  <c r="DR78" i="2"/>
  <c r="DQ78" i="2"/>
  <c r="DP78" i="2"/>
  <c r="DE78" i="2"/>
  <c r="AY78" i="2"/>
  <c r="BA78" i="2" s="1"/>
  <c r="AJ78" i="2"/>
  <c r="AG78" i="2"/>
  <c r="AC78" i="2"/>
  <c r="DU77" i="2"/>
  <c r="DR77" i="2"/>
  <c r="DQ77" i="2"/>
  <c r="DP77" i="2"/>
  <c r="DE77" i="2"/>
  <c r="AY77" i="2"/>
  <c r="BA77" i="2" s="1"/>
  <c r="AJ77" i="2"/>
  <c r="AG77" i="2"/>
  <c r="AC77" i="2"/>
  <c r="DU76" i="2"/>
  <c r="DR76" i="2"/>
  <c r="DQ76" i="2"/>
  <c r="DP76" i="2"/>
  <c r="DE76" i="2"/>
  <c r="AY76" i="2"/>
  <c r="BA76" i="2" s="1"/>
  <c r="AJ76" i="2"/>
  <c r="AG76" i="2"/>
  <c r="AC76" i="2"/>
  <c r="DU75" i="2"/>
  <c r="DR75" i="2"/>
  <c r="DQ75" i="2"/>
  <c r="DP75" i="2"/>
  <c r="DE75" i="2"/>
  <c r="AJ75" i="2"/>
  <c r="AG75" i="2"/>
  <c r="AC75" i="2"/>
  <c r="DU74" i="2"/>
  <c r="DR74" i="2"/>
  <c r="DQ74" i="2"/>
  <c r="DP74" i="2"/>
  <c r="DE74" i="2"/>
  <c r="AJ74" i="2"/>
  <c r="AG74" i="2"/>
  <c r="AC74" i="2"/>
  <c r="DU73" i="2"/>
  <c r="DR73" i="2"/>
  <c r="DQ73" i="2"/>
  <c r="DP73" i="2"/>
  <c r="DH73" i="2"/>
  <c r="DE73" i="2"/>
  <c r="AJ73" i="2"/>
  <c r="AG73" i="2"/>
  <c r="AC73" i="2"/>
  <c r="DU72" i="2"/>
  <c r="DR72" i="2"/>
  <c r="DQ72" i="2"/>
  <c r="DP72" i="2"/>
  <c r="DE72" i="2"/>
  <c r="AJ72" i="2"/>
  <c r="AG72" i="2"/>
  <c r="DU71" i="2"/>
  <c r="DR71" i="2"/>
  <c r="DQ71" i="2"/>
  <c r="DP71" i="2"/>
  <c r="DE71" i="2"/>
  <c r="DU70" i="2"/>
  <c r="DR70" i="2"/>
  <c r="DQ70" i="2"/>
  <c r="DP70" i="2"/>
  <c r="DE70" i="2"/>
  <c r="DU69" i="2"/>
  <c r="DR69" i="2"/>
  <c r="DQ69" i="2"/>
  <c r="DP69" i="2"/>
  <c r="DN69" i="2"/>
  <c r="DL69" i="2"/>
  <c r="DK69" i="2"/>
  <c r="DJ69" i="2"/>
  <c r="DI69" i="2"/>
  <c r="DH69" i="2"/>
  <c r="DG69" i="2"/>
  <c r="DE69" i="2"/>
  <c r="DD69" i="2"/>
  <c r="DF69" i="2"/>
  <c r="DU52" i="2"/>
  <c r="DR52" i="2"/>
  <c r="DQ52" i="2"/>
  <c r="DP52" i="2"/>
  <c r="DE52" i="2"/>
  <c r="DU51" i="2"/>
  <c r="DR51" i="2"/>
  <c r="DQ51" i="2"/>
  <c r="DP51" i="2"/>
  <c r="DE51" i="2"/>
  <c r="DU50" i="2"/>
  <c r="DR50" i="2"/>
  <c r="DQ50" i="2"/>
  <c r="DP50" i="2"/>
  <c r="DE50" i="2"/>
  <c r="DU49" i="2"/>
  <c r="DR49" i="2"/>
  <c r="DQ49" i="2"/>
  <c r="DP49" i="2"/>
  <c r="DE49" i="2"/>
  <c r="DU48" i="2"/>
  <c r="DR48" i="2"/>
  <c r="DQ48" i="2"/>
  <c r="DP48" i="2"/>
  <c r="DE48" i="2"/>
  <c r="DU47" i="2"/>
  <c r="DR47" i="2"/>
  <c r="DQ47" i="2"/>
  <c r="DP47" i="2"/>
  <c r="DI47" i="2"/>
  <c r="DE47" i="2"/>
  <c r="DU45" i="2"/>
  <c r="DR45" i="2"/>
  <c r="DQ45" i="2"/>
  <c r="DP45" i="2"/>
  <c r="DI45" i="2"/>
  <c r="DE45" i="2"/>
  <c r="DD45" i="2"/>
  <c r="AG45" i="2"/>
  <c r="DU44" i="2"/>
  <c r="DR44" i="2"/>
  <c r="DQ44" i="2"/>
  <c r="DP44" i="2"/>
  <c r="DE44" i="2"/>
  <c r="DU42" i="2"/>
  <c r="DR42" i="2"/>
  <c r="DQ42" i="2"/>
  <c r="DP42" i="2"/>
  <c r="DE42" i="2"/>
  <c r="AG42" i="2"/>
  <c r="DU41" i="2"/>
  <c r="DR41" i="2"/>
  <c r="DQ41" i="2"/>
  <c r="DP41" i="2"/>
  <c r="DN41" i="2"/>
  <c r="DL41" i="2"/>
  <c r="DK41" i="2"/>
  <c r="DJ41" i="2"/>
  <c r="DI41" i="2"/>
  <c r="DH41" i="2"/>
  <c r="DG41" i="2"/>
  <c r="DE41" i="2"/>
  <c r="DD41" i="2"/>
  <c r="DF41" i="2"/>
  <c r="DU39" i="2"/>
  <c r="DR39" i="2"/>
  <c r="DQ39" i="2"/>
  <c r="DP39" i="2"/>
  <c r="DK39" i="2"/>
  <c r="DI39" i="2"/>
  <c r="DE39" i="2"/>
  <c r="AG39" i="2"/>
  <c r="DF39" i="2"/>
  <c r="DU38" i="2"/>
  <c r="DR38" i="2"/>
  <c r="DQ38" i="2"/>
  <c r="DP38" i="2"/>
  <c r="DE38" i="2"/>
  <c r="DU37" i="2"/>
  <c r="DR37" i="2"/>
  <c r="DQ37" i="2"/>
  <c r="DP37" i="2"/>
  <c r="DE37" i="2"/>
  <c r="AM26" i="2"/>
  <c r="AM21" i="2"/>
  <c r="AM22" i="2"/>
  <c r="AM24" i="2"/>
  <c r="AM25" i="2"/>
  <c r="AM28" i="2"/>
  <c r="DD20" i="2"/>
  <c r="W25" i="4"/>
  <c r="W26" i="4"/>
  <c r="AM29" i="2"/>
  <c r="AG22" i="2"/>
  <c r="AJ22" i="2"/>
  <c r="AG23" i="2"/>
  <c r="I31" i="4"/>
  <c r="K28" i="4"/>
  <c r="M35" i="4"/>
  <c r="I34" i="4"/>
  <c r="AX26" i="4"/>
  <c r="AJ26" i="4"/>
  <c r="AE26" i="4"/>
  <c r="Q26" i="4"/>
  <c r="M26" i="4"/>
  <c r="K26" i="4"/>
  <c r="I26" i="4"/>
  <c r="D26" i="4"/>
  <c r="K134" i="2"/>
  <c r="AX25" i="4"/>
  <c r="AX28" i="4"/>
  <c r="AX31" i="4"/>
  <c r="AX32" i="4"/>
  <c r="AX34" i="4"/>
  <c r="AX35" i="4"/>
  <c r="AX37" i="4"/>
  <c r="AX41" i="4"/>
  <c r="AX49" i="4"/>
  <c r="AX24" i="4"/>
  <c r="AE28" i="4"/>
  <c r="I37" i="4"/>
  <c r="K37" i="4"/>
  <c r="M37" i="4"/>
  <c r="I41" i="4"/>
  <c r="M41" i="4"/>
  <c r="I49" i="4"/>
  <c r="I35" i="4"/>
  <c r="M34" i="4"/>
  <c r="I32" i="4"/>
  <c r="M25" i="4"/>
  <c r="M28" i="4"/>
  <c r="M31" i="4"/>
  <c r="M32" i="4"/>
  <c r="M24" i="4"/>
  <c r="K25" i="4"/>
  <c r="K31" i="4"/>
  <c r="K32" i="4"/>
  <c r="K34" i="4"/>
  <c r="K35" i="4"/>
  <c r="K24" i="4"/>
  <c r="I28" i="4"/>
  <c r="AC21" i="2"/>
  <c r="AC22" i="2"/>
  <c r="AC23" i="2"/>
  <c r="AC24" i="2"/>
  <c r="AC25" i="2"/>
  <c r="AC26" i="2"/>
  <c r="AC27" i="2"/>
  <c r="AC20" i="2"/>
  <c r="AP37" i="4"/>
  <c r="AP41" i="4"/>
  <c r="AP49" i="4"/>
  <c r="BX82" i="2" l="1"/>
  <c r="CF82" i="2"/>
  <c r="BZ82" i="2"/>
  <c r="BV82" i="2"/>
  <c r="CE82" i="2"/>
  <c r="BW82" i="2"/>
  <c r="CB82" i="2"/>
  <c r="CC82" i="2"/>
  <c r="CD82" i="2"/>
  <c r="BU82" i="2"/>
  <c r="BY82" i="2"/>
  <c r="BW84" i="2"/>
  <c r="CE84" i="2"/>
  <c r="CB84" i="2"/>
  <c r="CC84" i="2"/>
  <c r="BX84" i="2"/>
  <c r="BY84" i="2"/>
  <c r="CD84" i="2"/>
  <c r="CF84" i="2"/>
  <c r="BU84" i="2"/>
  <c r="BZ84" i="2"/>
  <c r="BV84" i="2"/>
  <c r="BW86" i="2"/>
  <c r="CE86" i="2"/>
  <c r="CB86" i="2"/>
  <c r="BV86" i="2"/>
  <c r="BX86" i="2"/>
  <c r="BY86" i="2"/>
  <c r="BZ86" i="2"/>
  <c r="CC86" i="2"/>
  <c r="CD86" i="2"/>
  <c r="CF86" i="2"/>
  <c r="BU86" i="2"/>
  <c r="BW90" i="2"/>
  <c r="CE90" i="2"/>
  <c r="CB90" i="2"/>
  <c r="CD90" i="2"/>
  <c r="BU90" i="2"/>
  <c r="CF90" i="2"/>
  <c r="BV90" i="2"/>
  <c r="BX90" i="2"/>
  <c r="BY90" i="2"/>
  <c r="BZ90" i="2"/>
  <c r="CC90" i="2"/>
  <c r="BV94" i="2"/>
  <c r="CD94" i="2"/>
  <c r="BZ94" i="2"/>
  <c r="CE94" i="2"/>
  <c r="BU94" i="2"/>
  <c r="CF94" i="2"/>
  <c r="BW94" i="2"/>
  <c r="BY94" i="2"/>
  <c r="BX94" i="2"/>
  <c r="CB94" i="2"/>
  <c r="CC94" i="2"/>
  <c r="BY83" i="2"/>
  <c r="BV83" i="2"/>
  <c r="CD83" i="2"/>
  <c r="CB83" i="2"/>
  <c r="BW83" i="2"/>
  <c r="BX83" i="2"/>
  <c r="BU83" i="2"/>
  <c r="BZ83" i="2"/>
  <c r="CC83" i="2"/>
  <c r="CE83" i="2"/>
  <c r="CF83" i="2"/>
  <c r="BU85" i="2"/>
  <c r="CC85" i="2"/>
  <c r="BZ85" i="2"/>
  <c r="CD85" i="2"/>
  <c r="CE85" i="2"/>
  <c r="BY85" i="2"/>
  <c r="BV85" i="2"/>
  <c r="BW85" i="2"/>
  <c r="BX85" i="2"/>
  <c r="CB85" i="2"/>
  <c r="CF85" i="2"/>
  <c r="BZ89" i="2"/>
  <c r="BV89" i="2"/>
  <c r="CD89" i="2"/>
  <c r="BW89" i="2"/>
  <c r="CE89" i="2"/>
  <c r="CC89" i="2"/>
  <c r="CF89" i="2"/>
  <c r="BU89" i="2"/>
  <c r="BX89" i="2"/>
  <c r="BY89" i="2"/>
  <c r="CB89" i="2"/>
  <c r="BY93" i="2"/>
  <c r="BU93" i="2"/>
  <c r="CC93" i="2"/>
  <c r="BV93" i="2"/>
  <c r="CD93" i="2"/>
  <c r="CB93" i="2"/>
  <c r="CE93" i="2"/>
  <c r="CF93" i="2"/>
  <c r="BW93" i="2"/>
  <c r="BX93" i="2"/>
  <c r="BZ93" i="2"/>
  <c r="BW99" i="2"/>
  <c r="CE99" i="2"/>
  <c r="CB99" i="2"/>
  <c r="CC99" i="2"/>
  <c r="CD99" i="2"/>
  <c r="BU99" i="2"/>
  <c r="CF99" i="2"/>
  <c r="BV99" i="2"/>
  <c r="BX99" i="2"/>
  <c r="BY99" i="2"/>
  <c r="BZ99" i="2"/>
  <c r="BY98" i="2"/>
  <c r="BU98" i="2"/>
  <c r="CC98" i="2"/>
  <c r="BV98" i="2"/>
  <c r="CD98" i="2"/>
  <c r="CB98" i="2"/>
  <c r="CE98" i="2"/>
  <c r="CF98" i="2"/>
  <c r="BW98" i="2"/>
  <c r="BZ98" i="2"/>
  <c r="BX98" i="2"/>
  <c r="BV88" i="2"/>
  <c r="CD88" i="2"/>
  <c r="BZ88" i="2"/>
  <c r="CB88" i="2"/>
  <c r="CC88" i="2"/>
  <c r="CE88" i="2"/>
  <c r="BU88" i="2"/>
  <c r="CF88" i="2"/>
  <c r="BW88" i="2"/>
  <c r="BX88" i="2"/>
  <c r="BY88" i="2"/>
  <c r="BW92" i="2"/>
  <c r="CE92" i="2"/>
  <c r="BX92" i="2"/>
  <c r="CF92" i="2"/>
  <c r="BY92" i="2"/>
  <c r="BZ92" i="2"/>
  <c r="CB92" i="2"/>
  <c r="CC92" i="2"/>
  <c r="CD92" i="2"/>
  <c r="BV92" i="2"/>
  <c r="BU92" i="2"/>
  <c r="BX96" i="2"/>
  <c r="CF96" i="2"/>
  <c r="CB96" i="2"/>
  <c r="BU96" i="2"/>
  <c r="CC96" i="2"/>
  <c r="BV96" i="2"/>
  <c r="BW96" i="2"/>
  <c r="BY96" i="2"/>
  <c r="BZ96" i="2"/>
  <c r="CD96" i="2"/>
  <c r="CE96" i="2"/>
  <c r="CB97" i="2"/>
  <c r="BX97" i="2"/>
  <c r="CF97" i="2"/>
  <c r="BY97" i="2"/>
  <c r="BW97" i="2"/>
  <c r="BZ97" i="2"/>
  <c r="CC97" i="2"/>
  <c r="CD97" i="2"/>
  <c r="CE97" i="2"/>
  <c r="BU97" i="2"/>
  <c r="BV97" i="2"/>
  <c r="BY87" i="2"/>
  <c r="BV87" i="2"/>
  <c r="CD87" i="2"/>
  <c r="BX87" i="2"/>
  <c r="CC87" i="2"/>
  <c r="CE87" i="2"/>
  <c r="BZ87" i="2"/>
  <c r="CB87" i="2"/>
  <c r="CF87" i="2"/>
  <c r="BU87" i="2"/>
  <c r="BW87" i="2"/>
  <c r="BU91" i="2"/>
  <c r="CC91" i="2"/>
  <c r="BY91" i="2"/>
  <c r="BZ91" i="2"/>
  <c r="BV91" i="2"/>
  <c r="BW91" i="2"/>
  <c r="BX91" i="2"/>
  <c r="CB91" i="2"/>
  <c r="CD91" i="2"/>
  <c r="CF91" i="2"/>
  <c r="CE91" i="2"/>
  <c r="CB95" i="2"/>
  <c r="BX95" i="2"/>
  <c r="CF95" i="2"/>
  <c r="BY95" i="2"/>
  <c r="BU95" i="2"/>
  <c r="BV95" i="2"/>
  <c r="BW95" i="2"/>
  <c r="BZ95" i="2"/>
  <c r="CC95" i="2"/>
  <c r="CE95" i="2"/>
  <c r="CD95" i="2"/>
  <c r="AP39" i="4"/>
  <c r="AP23" i="4" s="1"/>
  <c r="AO11" i="4" s="1"/>
  <c r="M23" i="4"/>
  <c r="I23" i="4"/>
  <c r="K23" i="4"/>
  <c r="A79" i="4"/>
  <c r="A80" i="4"/>
  <c r="A81" i="4" s="1"/>
  <c r="A82" i="4" s="1"/>
  <c r="A83" i="4" s="1"/>
  <c r="A84" i="4" s="1"/>
  <c r="A87" i="4" s="1"/>
  <c r="AU79" i="2"/>
  <c r="AV79" i="2"/>
  <c r="AU80" i="2"/>
  <c r="AV80" i="2"/>
  <c r="AU81" i="2"/>
  <c r="AV81" i="2"/>
  <c r="AV77" i="2"/>
  <c r="AU77" i="2"/>
  <c r="AU82" i="2"/>
  <c r="AV82" i="2"/>
  <c r="AU78" i="2"/>
  <c r="AV78" i="2"/>
  <c r="AV76" i="2"/>
  <c r="AU76" i="2"/>
  <c r="AX71" i="2"/>
  <c r="M18" i="2"/>
  <c r="AN60" i="2"/>
  <c r="AN37" i="2"/>
  <c r="AN48" i="2"/>
  <c r="AN64" i="2"/>
  <c r="AN62" i="2"/>
  <c r="AN58" i="2"/>
  <c r="AN23" i="4"/>
  <c r="Y23" i="4"/>
  <c r="AF23" i="4"/>
  <c r="AN61" i="2"/>
  <c r="AN66" i="2"/>
  <c r="DL55" i="2"/>
  <c r="DH57" i="2"/>
  <c r="DK58" i="2"/>
  <c r="DK55" i="2"/>
  <c r="DI56" i="2"/>
  <c r="DI57" i="2"/>
  <c r="DF59" i="2"/>
  <c r="DK60" i="2"/>
  <c r="DI61" i="2"/>
  <c r="DG62" i="2"/>
  <c r="DG63" i="2"/>
  <c r="DK65" i="2"/>
  <c r="DK66" i="2"/>
  <c r="DN59" i="2"/>
  <c r="DK57" i="2"/>
  <c r="DG59" i="2"/>
  <c r="DG64" i="2"/>
  <c r="DG54" i="2"/>
  <c r="DN57" i="2"/>
  <c r="DH59" i="2"/>
  <c r="DI62" i="2"/>
  <c r="DI63" i="2"/>
  <c r="DH64" i="2"/>
  <c r="AN65" i="2"/>
  <c r="DI59" i="2"/>
  <c r="DG58" i="2"/>
  <c r="DJ59" i="2"/>
  <c r="DK63" i="2"/>
  <c r="DJ64" i="2"/>
  <c r="DK54" i="2"/>
  <c r="DG55" i="2"/>
  <c r="DH58" i="2"/>
  <c r="DK59" i="2"/>
  <c r="DH60" i="2"/>
  <c r="DN63" i="2"/>
  <c r="DF64" i="2"/>
  <c r="DK64" i="2"/>
  <c r="DH65" i="2"/>
  <c r="AN56" i="2"/>
  <c r="AN55" i="2"/>
  <c r="AN59" i="2"/>
  <c r="AN57" i="2"/>
  <c r="AN54" i="2"/>
  <c r="DF54" i="2"/>
  <c r="DF55" i="2"/>
  <c r="DF56" i="2"/>
  <c r="DF57" i="2"/>
  <c r="DF58" i="2"/>
  <c r="AN63" i="2"/>
  <c r="DJ54" i="2"/>
  <c r="DJ55" i="2"/>
  <c r="DJ56" i="2"/>
  <c r="DJ57" i="2"/>
  <c r="DJ58" i="2"/>
  <c r="DD54" i="2"/>
  <c r="DD55" i="2"/>
  <c r="DD56" i="2"/>
  <c r="DD57" i="2"/>
  <c r="DD58" i="2"/>
  <c r="DN58" i="2"/>
  <c r="DD59" i="2"/>
  <c r="DD60" i="2"/>
  <c r="DD61" i="2"/>
  <c r="DD62" i="2"/>
  <c r="DD63" i="2"/>
  <c r="DD64" i="2"/>
  <c r="DD65" i="2"/>
  <c r="DD66" i="2"/>
  <c r="DN51" i="2"/>
  <c r="DF47" i="2"/>
  <c r="DL48" i="2"/>
  <c r="DL82" i="2"/>
  <c r="DL84" i="2"/>
  <c r="DF82" i="2"/>
  <c r="DN84" i="2"/>
  <c r="DJ82" i="2"/>
  <c r="DG77" i="2"/>
  <c r="DH85" i="2"/>
  <c r="DH77" i="2"/>
  <c r="DI83" i="2"/>
  <c r="DJ87" i="2"/>
  <c r="DK47" i="2"/>
  <c r="DG73" i="2"/>
  <c r="DL83" i="2"/>
  <c r="DI82" i="2"/>
  <c r="DN83" i="2"/>
  <c r="DJ47" i="2"/>
  <c r="DK91" i="2"/>
  <c r="DG81" i="2"/>
  <c r="DI42" i="2"/>
  <c r="DK88" i="2"/>
  <c r="DD72" i="2"/>
  <c r="DG37" i="2"/>
  <c r="DI72" i="2"/>
  <c r="DK82" i="2"/>
  <c r="DN91" i="2"/>
  <c r="DI52" i="2"/>
  <c r="DG82" i="2"/>
  <c r="DG83" i="2"/>
  <c r="DG91" i="2"/>
  <c r="DL81" i="2"/>
  <c r="DI76" i="2"/>
  <c r="DJ81" i="2"/>
  <c r="DF72" i="2"/>
  <c r="DN72" i="2"/>
  <c r="DN80" i="2"/>
  <c r="DN82" i="2"/>
  <c r="DD51" i="2"/>
  <c r="DG52" i="2"/>
  <c r="DK87" i="2"/>
  <c r="DL88" i="2"/>
  <c r="DL91" i="2"/>
  <c r="DH83" i="2"/>
  <c r="DI85" i="2"/>
  <c r="DJ88" i="2"/>
  <c r="DF91" i="2"/>
  <c r="DJ91" i="2"/>
  <c r="DD95" i="2"/>
  <c r="DJ38" i="2"/>
  <c r="DN47" i="2"/>
  <c r="DG79" i="2"/>
  <c r="DN88" i="2"/>
  <c r="DG95" i="2"/>
  <c r="DK79" i="2"/>
  <c r="DF88" i="2"/>
  <c r="DD88" i="2"/>
  <c r="DF90" i="2"/>
  <c r="DI90" i="2"/>
  <c r="DJ95" i="2"/>
  <c r="DF95" i="2"/>
  <c r="DI50" i="2"/>
  <c r="DN79" i="2"/>
  <c r="DJ90" i="2"/>
  <c r="DL95" i="2"/>
  <c r="DF38" i="2"/>
  <c r="DD47" i="2"/>
  <c r="DG88" i="2"/>
  <c r="DK90" i="2"/>
  <c r="DN95" i="2"/>
  <c r="DD52" i="2"/>
  <c r="DH88" i="2"/>
  <c r="DL90" i="2"/>
  <c r="DG39" i="2"/>
  <c r="DI44" i="2"/>
  <c r="DF51" i="2"/>
  <c r="DG51" i="2"/>
  <c r="DJ52" i="2"/>
  <c r="DF71" i="2"/>
  <c r="DK38" i="2"/>
  <c r="DH39" i="2"/>
  <c r="DH45" i="2"/>
  <c r="DH51" i="2"/>
  <c r="DN52" i="2"/>
  <c r="DJ39" i="2"/>
  <c r="DJ45" i="2"/>
  <c r="DJ51" i="2"/>
  <c r="DI91" i="2"/>
  <c r="DI51" i="2"/>
  <c r="DL45" i="2"/>
  <c r="DK51" i="2"/>
  <c r="DI38" i="2"/>
  <c r="DL39" i="2"/>
  <c r="DN45" i="2"/>
  <c r="DF52" i="2"/>
  <c r="DF94" i="2"/>
  <c r="DI94" i="2"/>
  <c r="DK52" i="2"/>
  <c r="DL74" i="2"/>
  <c r="DI81" i="2"/>
  <c r="S82" i="2"/>
  <c r="DL87" i="2"/>
  <c r="DJ94" i="2"/>
  <c r="DD70" i="2"/>
  <c r="DD39" i="2"/>
  <c r="DG45" i="2"/>
  <c r="DK49" i="2"/>
  <c r="DL52" i="2"/>
  <c r="DH70" i="2"/>
  <c r="DF76" i="2"/>
  <c r="DH76" i="2"/>
  <c r="DK81" i="2"/>
  <c r="DK94" i="2"/>
  <c r="DL94" i="2"/>
  <c r="DK70" i="2"/>
  <c r="DL70" i="2"/>
  <c r="DJ76" i="2"/>
  <c r="DF87" i="2"/>
  <c r="DH92" i="2"/>
  <c r="DJ70" i="2"/>
  <c r="DN70" i="2"/>
  <c r="DI86" i="2"/>
  <c r="DG87" i="2"/>
  <c r="DI92" i="2"/>
  <c r="DF45" i="2"/>
  <c r="DG72" i="2"/>
  <c r="DD81" i="2"/>
  <c r="DF86" i="2"/>
  <c r="DI87" i="2"/>
  <c r="DN48" i="2"/>
  <c r="DJ86" i="2"/>
  <c r="DD48" i="2"/>
  <c r="DD84" i="2"/>
  <c r="DL85" i="2"/>
  <c r="DN86" i="2"/>
  <c r="DD87" i="2"/>
  <c r="DJ92" i="2"/>
  <c r="DK95" i="2"/>
  <c r="DI96" i="2"/>
  <c r="DG48" i="2"/>
  <c r="DH48" i="2"/>
  <c r="DI48" i="2"/>
  <c r="DH86" i="2"/>
  <c r="DJ48" i="2"/>
  <c r="DD86" i="2"/>
  <c r="DF48" i="2"/>
  <c r="DF96" i="2"/>
  <c r="DG96" i="2"/>
  <c r="DH96" i="2"/>
  <c r="DJ96" i="2"/>
  <c r="DK96" i="2"/>
  <c r="DK92" i="2"/>
  <c r="DL92" i="2"/>
  <c r="DF92" i="2"/>
  <c r="DD92" i="2"/>
  <c r="DN92" i="2"/>
  <c r="DH89" i="2"/>
  <c r="DG89" i="2"/>
  <c r="DK86" i="2"/>
  <c r="DL86" i="2"/>
  <c r="DG85" i="2"/>
  <c r="DJ85" i="2"/>
  <c r="DJ83" i="2"/>
  <c r="DK83" i="2"/>
  <c r="DF83" i="2"/>
  <c r="DD85" i="2"/>
  <c r="DN85" i="2"/>
  <c r="DI89" i="2"/>
  <c r="DG90" i="2"/>
  <c r="DH91" i="2"/>
  <c r="DG93" i="2"/>
  <c r="DG94" i="2"/>
  <c r="DH95" i="2"/>
  <c r="DH87" i="2"/>
  <c r="DJ89" i="2"/>
  <c r="DH90" i="2"/>
  <c r="DH93" i="2"/>
  <c r="DH94" i="2"/>
  <c r="DI93" i="2"/>
  <c r="DF89" i="2"/>
  <c r="DL89" i="2"/>
  <c r="DF93" i="2"/>
  <c r="DJ93" i="2"/>
  <c r="DD89" i="2"/>
  <c r="DN89" i="2"/>
  <c r="DK93" i="2"/>
  <c r="DL93" i="2"/>
  <c r="DF85" i="2"/>
  <c r="DD90" i="2"/>
  <c r="DD93" i="2"/>
  <c r="DD94" i="2"/>
  <c r="DF81" i="2"/>
  <c r="DH75" i="2"/>
  <c r="DJ72" i="2"/>
  <c r="DI75" i="2"/>
  <c r="DK76" i="2"/>
  <c r="DG75" i="2"/>
  <c r="DK72" i="2"/>
  <c r="DJ75" i="2"/>
  <c r="DL76" i="2"/>
  <c r="DL72" i="2"/>
  <c r="DK75" i="2"/>
  <c r="DD76" i="2"/>
  <c r="DN76" i="2"/>
  <c r="DL75" i="2"/>
  <c r="DF75" i="2"/>
  <c r="DD75" i="2"/>
  <c r="DF70" i="2"/>
  <c r="AN33" i="2"/>
  <c r="DD33" i="2"/>
  <c r="DL33" i="2"/>
  <c r="DJ78" i="2"/>
  <c r="DD82" i="2"/>
  <c r="DN71" i="2"/>
  <c r="AN38" i="2"/>
  <c r="DJ42" i="2"/>
  <c r="DK78" i="2"/>
  <c r="DF42" i="2"/>
  <c r="DK42" i="2"/>
  <c r="DD71" i="2"/>
  <c r="DD74" i="2"/>
  <c r="DD78" i="2"/>
  <c r="DL78" i="2"/>
  <c r="DF79" i="2"/>
  <c r="DD79" i="2"/>
  <c r="DH37" i="2"/>
  <c r="DI37" i="2"/>
  <c r="DF37" i="2"/>
  <c r="DJ37" i="2"/>
  <c r="DL42" i="2"/>
  <c r="DL47" i="2"/>
  <c r="DF50" i="2"/>
  <c r="DH50" i="2"/>
  <c r="DN78" i="2"/>
  <c r="DD42" i="2"/>
  <c r="DG71" i="2"/>
  <c r="DL37" i="2"/>
  <c r="AN44" i="2"/>
  <c r="DL50" i="2"/>
  <c r="DH71" i="2"/>
  <c r="DN74" i="2"/>
  <c r="DG78" i="2"/>
  <c r="DH79" i="2"/>
  <c r="DN42" i="2"/>
  <c r="DF78" i="2"/>
  <c r="DD37" i="2"/>
  <c r="DN37" i="2"/>
  <c r="DG42" i="2"/>
  <c r="DG47" i="2"/>
  <c r="DK71" i="2"/>
  <c r="DH78" i="2"/>
  <c r="DI79" i="2"/>
  <c r="AN82" i="2"/>
  <c r="DL71" i="2"/>
  <c r="DJ79" i="2"/>
  <c r="AN81" i="2"/>
  <c r="DH81" i="2"/>
  <c r="S81" i="2"/>
  <c r="DG80" i="2"/>
  <c r="DH80" i="2"/>
  <c r="DI80" i="2"/>
  <c r="DJ80" i="2"/>
  <c r="DK80" i="2"/>
  <c r="AN79" i="2"/>
  <c r="DF77" i="2"/>
  <c r="DI77" i="2"/>
  <c r="DJ77" i="2"/>
  <c r="DK77" i="2"/>
  <c r="DL77" i="2"/>
  <c r="DD77" i="2"/>
  <c r="DN77" i="2"/>
  <c r="AN75" i="2"/>
  <c r="DG74" i="2"/>
  <c r="DH74" i="2"/>
  <c r="DF74" i="2"/>
  <c r="DI74" i="2"/>
  <c r="DJ74" i="2"/>
  <c r="DI73" i="2"/>
  <c r="DF73" i="2"/>
  <c r="DJ73" i="2"/>
  <c r="DK73" i="2"/>
  <c r="DL73" i="2"/>
  <c r="DD73" i="2"/>
  <c r="S76" i="2"/>
  <c r="DI71" i="2"/>
  <c r="DJ71" i="2"/>
  <c r="DI70" i="2"/>
  <c r="AN51" i="2"/>
  <c r="DJ50" i="2"/>
  <c r="DK50" i="2"/>
  <c r="DD50" i="2"/>
  <c r="DN50" i="2"/>
  <c r="AN45" i="2"/>
  <c r="AN42" i="2"/>
  <c r="DG38" i="2"/>
  <c r="DH38" i="2"/>
  <c r="DJ44" i="2"/>
  <c r="DD49" i="2"/>
  <c r="DK44" i="2"/>
  <c r="DN49" i="2"/>
  <c r="AN39" i="2"/>
  <c r="DF44" i="2"/>
  <c r="DL44" i="2"/>
  <c r="DF49" i="2"/>
  <c r="DL49" i="2"/>
  <c r="DD44" i="2"/>
  <c r="DN44" i="2"/>
  <c r="AN49" i="2"/>
  <c r="DG49" i="2"/>
  <c r="DH49" i="2"/>
  <c r="DG44" i="2"/>
  <c r="AN47" i="2"/>
  <c r="DI49" i="2"/>
  <c r="DD38" i="2"/>
  <c r="DN38" i="2"/>
  <c r="AN52" i="2"/>
  <c r="AN70" i="2"/>
  <c r="S78" i="2"/>
  <c r="AN69" i="2"/>
  <c r="AN76" i="2"/>
  <c r="S80" i="2"/>
  <c r="AN41" i="2"/>
  <c r="AN78" i="2"/>
  <c r="S79" i="2"/>
  <c r="AN50" i="2"/>
  <c r="AN73" i="2"/>
  <c r="AN77" i="2"/>
  <c r="AN72" i="2"/>
  <c r="AN74" i="2"/>
  <c r="AN80" i="2"/>
  <c r="S77" i="2"/>
  <c r="AM20" i="2"/>
  <c r="BN88" i="2" l="1"/>
  <c r="BN98" i="2"/>
  <c r="BN99" i="2"/>
  <c r="BN93" i="2"/>
  <c r="BN91" i="2"/>
  <c r="BP77" i="2"/>
  <c r="BQ77" i="2"/>
  <c r="BO77" i="2"/>
  <c r="BR77" i="2"/>
  <c r="BS77" i="2"/>
  <c r="BN87" i="2"/>
  <c r="BN92" i="2"/>
  <c r="BN86" i="2"/>
  <c r="BN83" i="2"/>
  <c r="BN90" i="2"/>
  <c r="BQ81" i="2"/>
  <c r="BR81" i="2"/>
  <c r="BP81" i="2"/>
  <c r="BS81" i="2"/>
  <c r="BO81" i="2"/>
  <c r="BQ80" i="2"/>
  <c r="BP80" i="2"/>
  <c r="BR80" i="2"/>
  <c r="BO80" i="2"/>
  <c r="BS80" i="2"/>
  <c r="BN89" i="2"/>
  <c r="BN97" i="2"/>
  <c r="BN84" i="2"/>
  <c r="BQ79" i="2"/>
  <c r="BR79" i="2"/>
  <c r="BO79" i="2"/>
  <c r="BP79" i="2"/>
  <c r="BS79" i="2"/>
  <c r="BR76" i="2"/>
  <c r="BS76" i="2"/>
  <c r="BP76" i="2"/>
  <c r="BQ76" i="2"/>
  <c r="BO76" i="2"/>
  <c r="BN96" i="2"/>
  <c r="BN94" i="2"/>
  <c r="BR78" i="2"/>
  <c r="BO78" i="2"/>
  <c r="BQ78" i="2"/>
  <c r="BS78" i="2"/>
  <c r="BP78" i="2"/>
  <c r="BN95" i="2"/>
  <c r="BN85" i="2"/>
  <c r="BN82" i="2"/>
  <c r="BR82" i="2"/>
  <c r="BO82" i="2"/>
  <c r="BP82" i="2"/>
  <c r="BQ82" i="2"/>
  <c r="BS82" i="2"/>
  <c r="AO13" i="4"/>
  <c r="AQ11" i="4" s="1"/>
  <c r="A86" i="4"/>
  <c r="A85" i="4"/>
  <c r="AY71" i="2"/>
  <c r="AJ28" i="4"/>
  <c r="AJ31" i="4"/>
  <c r="AJ32" i="4"/>
  <c r="AJ34" i="4"/>
  <c r="AJ35" i="4"/>
  <c r="AJ37" i="4"/>
  <c r="AJ41" i="4"/>
  <c r="AJ49" i="4"/>
  <c r="AJ24" i="4"/>
  <c r="AJ25" i="4"/>
  <c r="AE31" i="4"/>
  <c r="AE41" i="4"/>
  <c r="W34" i="4"/>
  <c r="W32" i="4"/>
  <c r="W28" i="4"/>
  <c r="W31" i="4"/>
  <c r="W41" i="4"/>
  <c r="D25" i="4"/>
  <c r="D28" i="4"/>
  <c r="D31" i="4"/>
  <c r="D32" i="4"/>
  <c r="D34" i="4"/>
  <c r="D35" i="4"/>
  <c r="D37" i="4"/>
  <c r="D41" i="4"/>
  <c r="D49" i="4"/>
  <c r="D24" i="4"/>
  <c r="P49" i="4"/>
  <c r="G49" i="4"/>
  <c r="Q34" i="4"/>
  <c r="Q32" i="4"/>
  <c r="Q31" i="4"/>
  <c r="P28" i="4"/>
  <c r="Q28" i="4" s="1"/>
  <c r="Q25" i="4"/>
  <c r="Q24" i="4"/>
  <c r="G24" i="4"/>
  <c r="Y6" i="2"/>
  <c r="BW10" i="2"/>
  <c r="BL18" i="2"/>
  <c r="BM18" i="2"/>
  <c r="CG18" i="2"/>
  <c r="CH18" i="2"/>
  <c r="A20" i="2"/>
  <c r="BU20" i="2" s="1"/>
  <c r="AJ20" i="2"/>
  <c r="BL20" i="2"/>
  <c r="BM20" i="2"/>
  <c r="CG20" i="2"/>
  <c r="CH20" i="2"/>
  <c r="CK20" i="2"/>
  <c r="CN20" i="2"/>
  <c r="CQ20" i="2"/>
  <c r="CR20" i="2"/>
  <c r="DE20" i="2"/>
  <c r="DF20" i="2"/>
  <c r="DG20" i="2"/>
  <c r="DH20" i="2"/>
  <c r="DI20" i="2"/>
  <c r="DJ20" i="2"/>
  <c r="DK20" i="2"/>
  <c r="DN20" i="2"/>
  <c r="DP20" i="2"/>
  <c r="DQ20" i="2"/>
  <c r="DR20" i="2"/>
  <c r="DU20" i="2"/>
  <c r="A21" i="2"/>
  <c r="BX21" i="2" s="1"/>
  <c r="AT21" i="2"/>
  <c r="AJ21" i="2"/>
  <c r="BL21" i="2"/>
  <c r="BM21" i="2"/>
  <c r="CG21" i="2"/>
  <c r="CH21" i="2"/>
  <c r="CK21" i="2"/>
  <c r="CN21" i="2"/>
  <c r="CQ21" i="2"/>
  <c r="CR21" i="2"/>
  <c r="DD21" i="2"/>
  <c r="DE21" i="2"/>
  <c r="DF21" i="2"/>
  <c r="DG21" i="2"/>
  <c r="DH21" i="2"/>
  <c r="DI21" i="2"/>
  <c r="DJ21" i="2"/>
  <c r="DK21" i="2"/>
  <c r="DL21" i="2"/>
  <c r="DN21" i="2"/>
  <c r="DP21" i="2"/>
  <c r="DQ21" i="2"/>
  <c r="DR21" i="2"/>
  <c r="DU21" i="2"/>
  <c r="A22" i="2"/>
  <c r="BV22" i="2" s="1"/>
  <c r="BL22" i="2"/>
  <c r="BM22" i="2"/>
  <c r="CG22" i="2"/>
  <c r="CH22" i="2"/>
  <c r="CK22" i="2"/>
  <c r="CN22" i="2"/>
  <c r="CQ22" i="2"/>
  <c r="CR22" i="2"/>
  <c r="DD22" i="2"/>
  <c r="DE22" i="2"/>
  <c r="DF22" i="2"/>
  <c r="DG22" i="2"/>
  <c r="DH22" i="2"/>
  <c r="DI22" i="2"/>
  <c r="DJ22" i="2"/>
  <c r="DK22" i="2"/>
  <c r="DL22" i="2"/>
  <c r="DN22" i="2"/>
  <c r="DP22" i="2"/>
  <c r="DQ22" i="2"/>
  <c r="DR22" i="2"/>
  <c r="DU22" i="2"/>
  <c r="BY23" i="2"/>
  <c r="BL23" i="2"/>
  <c r="BM23" i="2"/>
  <c r="CG23" i="2"/>
  <c r="CH23" i="2"/>
  <c r="CK23" i="2"/>
  <c r="CN23" i="2"/>
  <c r="CQ23" i="2"/>
  <c r="CR23" i="2"/>
  <c r="DD23" i="2"/>
  <c r="DE23" i="2"/>
  <c r="DF23" i="2"/>
  <c r="DG23" i="2"/>
  <c r="DH23" i="2"/>
  <c r="DI23" i="2"/>
  <c r="DJ23" i="2"/>
  <c r="DK23" i="2"/>
  <c r="DL23" i="2"/>
  <c r="DN23" i="2"/>
  <c r="DP23" i="2"/>
  <c r="DQ23" i="2"/>
  <c r="DR23" i="2"/>
  <c r="DU23" i="2"/>
  <c r="DD24" i="2"/>
  <c r="DE24" i="2"/>
  <c r="DF24" i="2"/>
  <c r="DG24" i="2"/>
  <c r="DH24" i="2"/>
  <c r="DI24" i="2"/>
  <c r="DJ24" i="2"/>
  <c r="DK24" i="2"/>
  <c r="DL24" i="2"/>
  <c r="DN24" i="2"/>
  <c r="DP24" i="2"/>
  <c r="DQ24" i="2"/>
  <c r="DR24" i="2"/>
  <c r="DU24" i="2"/>
  <c r="DD25" i="2"/>
  <c r="DE25" i="2"/>
  <c r="DF25" i="2"/>
  <c r="DG25" i="2"/>
  <c r="DH25" i="2"/>
  <c r="DI25" i="2"/>
  <c r="DJ25" i="2"/>
  <c r="DK25" i="2"/>
  <c r="DL25" i="2"/>
  <c r="DN25" i="2"/>
  <c r="DP25" i="2"/>
  <c r="DQ25" i="2"/>
  <c r="DR25" i="2"/>
  <c r="DU25" i="2"/>
  <c r="DD26" i="2"/>
  <c r="DE26" i="2"/>
  <c r="DF26" i="2"/>
  <c r="DG26" i="2"/>
  <c r="DH26" i="2"/>
  <c r="DI26" i="2"/>
  <c r="DJ26" i="2"/>
  <c r="DK26" i="2"/>
  <c r="DL26" i="2"/>
  <c r="DN26" i="2"/>
  <c r="DP26" i="2"/>
  <c r="DQ26" i="2"/>
  <c r="DR26" i="2"/>
  <c r="DU26" i="2"/>
  <c r="DD27" i="2"/>
  <c r="DE27" i="2"/>
  <c r="DF27" i="2"/>
  <c r="DG27" i="2"/>
  <c r="DH27" i="2"/>
  <c r="DI27" i="2"/>
  <c r="DJ27" i="2"/>
  <c r="DK27" i="2"/>
  <c r="DL27" i="2"/>
  <c r="DN27" i="2"/>
  <c r="DP27" i="2"/>
  <c r="DQ27" i="2"/>
  <c r="DR27" i="2"/>
  <c r="DU27" i="2"/>
  <c r="DD28" i="2"/>
  <c r="DE28" i="2"/>
  <c r="DF28" i="2"/>
  <c r="DG28" i="2"/>
  <c r="DH28" i="2"/>
  <c r="DI28" i="2"/>
  <c r="DJ28" i="2"/>
  <c r="DK28" i="2"/>
  <c r="DL28" i="2"/>
  <c r="DN28" i="2"/>
  <c r="DP28" i="2"/>
  <c r="DQ28" i="2"/>
  <c r="DR28" i="2"/>
  <c r="DU28" i="2"/>
  <c r="DD29" i="2"/>
  <c r="DE29" i="2"/>
  <c r="DF29" i="2"/>
  <c r="DG29" i="2"/>
  <c r="DH29" i="2"/>
  <c r="DI29" i="2"/>
  <c r="DJ29" i="2"/>
  <c r="DK29" i="2"/>
  <c r="DL29" i="2"/>
  <c r="DN29" i="2"/>
  <c r="DP29" i="2"/>
  <c r="DQ29" i="2"/>
  <c r="DR29" i="2"/>
  <c r="DU29" i="2"/>
  <c r="DD31" i="2"/>
  <c r="DE31" i="2"/>
  <c r="DF31" i="2"/>
  <c r="DG31" i="2"/>
  <c r="DH31" i="2"/>
  <c r="DI31" i="2"/>
  <c r="DJ31" i="2"/>
  <c r="DK31" i="2"/>
  <c r="DL31" i="2"/>
  <c r="DN31" i="2"/>
  <c r="DP31" i="2"/>
  <c r="DQ31" i="2"/>
  <c r="DR31" i="2"/>
  <c r="DU31" i="2"/>
  <c r="DD34" i="2"/>
  <c r="DE34" i="2"/>
  <c r="DF34" i="2"/>
  <c r="DG34" i="2"/>
  <c r="DH34" i="2"/>
  <c r="DI34" i="2"/>
  <c r="DJ34" i="2"/>
  <c r="DK34" i="2"/>
  <c r="DL34" i="2"/>
  <c r="DN34" i="2"/>
  <c r="DP34" i="2"/>
  <c r="DQ34" i="2"/>
  <c r="DR34" i="2"/>
  <c r="DU34" i="2"/>
  <c r="DD35" i="2"/>
  <c r="DE35" i="2"/>
  <c r="DF35" i="2"/>
  <c r="DG35" i="2"/>
  <c r="DH35" i="2"/>
  <c r="DI35" i="2"/>
  <c r="DJ35" i="2"/>
  <c r="DK35" i="2"/>
  <c r="DL35" i="2"/>
  <c r="DN35" i="2"/>
  <c r="DP35" i="2"/>
  <c r="DQ35" i="2"/>
  <c r="DR35" i="2"/>
  <c r="DU35" i="2"/>
  <c r="A100" i="2"/>
  <c r="AG19" i="2"/>
  <c r="DD100" i="2"/>
  <c r="DE100" i="2"/>
  <c r="DF100" i="2"/>
  <c r="DG100" i="2"/>
  <c r="DH100" i="2"/>
  <c r="DI100" i="2"/>
  <c r="DJ100" i="2"/>
  <c r="DK100" i="2"/>
  <c r="DL100" i="2"/>
  <c r="DN100" i="2"/>
  <c r="DP100" i="2"/>
  <c r="DQ100" i="2"/>
  <c r="DR100" i="2"/>
  <c r="DU100" i="2"/>
  <c r="A101" i="2"/>
  <c r="AT101" i="2"/>
  <c r="A102" i="2"/>
  <c r="AT102" i="2"/>
  <c r="BL103" i="2"/>
  <c r="BM103" i="2"/>
  <c r="CJ103" i="2"/>
  <c r="CK103" i="2"/>
  <c r="CN103" i="2"/>
  <c r="AY21" i="2"/>
  <c r="A88" i="4" l="1"/>
  <c r="A89" i="4" s="1"/>
  <c r="A92" i="4" s="1"/>
  <c r="A93" i="4" s="1"/>
  <c r="BX102" i="2"/>
  <c r="CF102" i="2"/>
  <c r="CB102" i="2"/>
  <c r="BU102" i="2"/>
  <c r="CC102" i="2"/>
  <c r="BY102" i="2"/>
  <c r="BZ102" i="2"/>
  <c r="CD102" i="2"/>
  <c r="CE102" i="2"/>
  <c r="BV102" i="2"/>
  <c r="BW102" i="2"/>
  <c r="BW101" i="2"/>
  <c r="CE101" i="2"/>
  <c r="BX101" i="2"/>
  <c r="CF101" i="2"/>
  <c r="BV101" i="2"/>
  <c r="BY101" i="2"/>
  <c r="BZ101" i="2"/>
  <c r="CB101" i="2"/>
  <c r="CC101" i="2"/>
  <c r="BU101" i="2"/>
  <c r="CD101" i="2"/>
  <c r="BU100" i="2"/>
  <c r="CC100" i="2"/>
  <c r="BY100" i="2"/>
  <c r="BZ100" i="2"/>
  <c r="CF100" i="2"/>
  <c r="BV100" i="2"/>
  <c r="BW100" i="2"/>
  <c r="BX100" i="2"/>
  <c r="CB100" i="2"/>
  <c r="CD100" i="2"/>
  <c r="CE100" i="2"/>
  <c r="BA71" i="2"/>
  <c r="AV21" i="2"/>
  <c r="AU21" i="2"/>
  <c r="AU71" i="2"/>
  <c r="AV71" i="2"/>
  <c r="BE71" i="2" s="1"/>
  <c r="AJ23" i="4"/>
  <c r="AN71" i="2"/>
  <c r="CJ21" i="2"/>
  <c r="CL21" i="2" s="1"/>
  <c r="CM21" i="2" s="1"/>
  <c r="CO21" i="2" s="1"/>
  <c r="CP21" i="2" s="1"/>
  <c r="CT21" i="2" s="1"/>
  <c r="CU21" i="2" s="1"/>
  <c r="CA21" i="2"/>
  <c r="BP22" i="2"/>
  <c r="Q49" i="4"/>
  <c r="Q37" i="4"/>
  <c r="Q35" i="4"/>
  <c r="Q41" i="4"/>
  <c r="BA21" i="2"/>
  <c r="AN21" i="2"/>
  <c r="BW22" i="2"/>
  <c r="AA6" i="2"/>
  <c r="BY22" i="2"/>
  <c r="BX22" i="2"/>
  <c r="BU22" i="2"/>
  <c r="AO10" i="4"/>
  <c r="W35" i="4"/>
  <c r="W49" i="4"/>
  <c r="W37" i="4"/>
  <c r="AE49" i="4"/>
  <c r="AE37" i="4"/>
  <c r="AE35" i="4"/>
  <c r="AE34" i="4"/>
  <c r="AE32" i="4"/>
  <c r="CC22" i="2"/>
  <c r="AR19" i="2"/>
  <c r="BO20" i="2"/>
  <c r="CE22" i="2"/>
  <c r="CD22" i="2"/>
  <c r="AT20" i="2"/>
  <c r="CJ20" i="2"/>
  <c r="CL20" i="2" s="1"/>
  <c r="CM20" i="2" s="1"/>
  <c r="CF20" i="2"/>
  <c r="CA20" i="2"/>
  <c r="CF21" i="2"/>
  <c r="BW23" i="2"/>
  <c r="BX20" i="2"/>
  <c r="BV20" i="2"/>
  <c r="BZ21" i="2"/>
  <c r="BW21" i="2"/>
  <c r="CE21" i="2"/>
  <c r="CD21" i="2"/>
  <c r="DR18" i="2"/>
  <c r="BY21" i="2"/>
  <c r="CB21" i="2"/>
  <c r="CL103" i="2"/>
  <c r="CM103" i="2" s="1"/>
  <c r="CF23" i="2"/>
  <c r="BU23" i="2"/>
  <c r="CC20" i="2"/>
  <c r="AJ19" i="2"/>
  <c r="DQ18" i="2"/>
  <c r="CB23" i="2"/>
  <c r="BX23" i="2"/>
  <c r="BZ20" i="2"/>
  <c r="BW20" i="2"/>
  <c r="CE23" i="2"/>
  <c r="BV23" i="2"/>
  <c r="BZ23" i="2"/>
  <c r="CE20" i="2"/>
  <c r="BY20" i="2"/>
  <c r="CD20" i="2"/>
  <c r="CD23" i="2"/>
  <c r="CB20" i="2"/>
  <c r="DP18" i="2"/>
  <c r="DQ17" i="2"/>
  <c r="AM19" i="2"/>
  <c r="CB22" i="2"/>
  <c r="CA22" i="2"/>
  <c r="BZ22" i="2"/>
  <c r="CJ22" i="2"/>
  <c r="CF22" i="2"/>
  <c r="AT22" i="2"/>
  <c r="BV21" i="2"/>
  <c r="CC21" i="2"/>
  <c r="BU21" i="2"/>
  <c r="CC23" i="2"/>
  <c r="CJ23" i="2"/>
  <c r="CL23" i="2" s="1"/>
  <c r="CM23" i="2" s="1"/>
  <c r="CA23" i="2"/>
  <c r="A95" i="4" l="1"/>
  <c r="A96" i="4" s="1"/>
  <c r="A97" i="4" s="1"/>
  <c r="A98" i="4" s="1"/>
  <c r="A99" i="4" s="1"/>
  <c r="A101" i="4" s="1"/>
  <c r="BN100" i="2"/>
  <c r="BN101" i="2"/>
  <c r="BN102" i="2"/>
  <c r="AO12" i="4"/>
  <c r="AV13" i="4" s="1"/>
  <c r="AO15" i="4"/>
  <c r="Q23" i="4"/>
  <c r="Q10" i="4" s="1"/>
  <c r="W23" i="4"/>
  <c r="AN31" i="2"/>
  <c r="AN27" i="2"/>
  <c r="BQ22" i="2"/>
  <c r="BO22" i="2"/>
  <c r="BR22" i="2"/>
  <c r="BS22" i="2"/>
  <c r="AE25" i="4"/>
  <c r="AE23" i="4" s="1"/>
  <c r="AN34" i="2"/>
  <c r="AN29" i="2"/>
  <c r="AN28" i="2"/>
  <c r="AN26" i="2"/>
  <c r="AN25" i="2"/>
  <c r="AU20" i="2"/>
  <c r="BN22" i="2"/>
  <c r="CO20" i="2"/>
  <c r="CP20" i="2" s="1"/>
  <c r="BS23" i="2"/>
  <c r="BO23" i="2"/>
  <c r="BR23" i="2"/>
  <c r="BP23" i="2"/>
  <c r="BQ23" i="2"/>
  <c r="BR21" i="2"/>
  <c r="BO21" i="2"/>
  <c r="BP21" i="2"/>
  <c r="BS21" i="2"/>
  <c r="BQ21" i="2"/>
  <c r="BR20" i="2"/>
  <c r="BQ20" i="2"/>
  <c r="BP20" i="2"/>
  <c r="BS20" i="2"/>
  <c r="BN20" i="2"/>
  <c r="CB19" i="2"/>
  <c r="BV9" i="2" s="1"/>
  <c r="BW9" i="2" s="1"/>
  <c r="CO23" i="2"/>
  <c r="CP23" i="2" s="1"/>
  <c r="CT23" i="2" s="1"/>
  <c r="CU23" i="2" s="1"/>
  <c r="CD19" i="2"/>
  <c r="BV6" i="2" s="1"/>
  <c r="BW6" i="2" s="1"/>
  <c r="BN23" i="2"/>
  <c r="AT19" i="2"/>
  <c r="BY19" i="2"/>
  <c r="J10" i="2" s="1"/>
  <c r="CF19" i="2"/>
  <c r="BV12" i="2" s="1"/>
  <c r="BW12" i="2" s="1"/>
  <c r="CC19" i="2"/>
  <c r="BV8" i="2" s="1"/>
  <c r="BW8" i="2" s="1"/>
  <c r="CL22" i="2"/>
  <c r="CM22" i="2" s="1"/>
  <c r="CO22" i="2" s="1"/>
  <c r="CP22" i="2" s="1"/>
  <c r="CT22" i="2" s="1"/>
  <c r="CU22" i="2" s="1"/>
  <c r="CU103" i="2"/>
  <c r="BZ19" i="2"/>
  <c r="BV7" i="2" s="1"/>
  <c r="BW7" i="2" s="1"/>
  <c r="BX19" i="2"/>
  <c r="J9" i="2" s="1"/>
  <c r="BU19" i="2"/>
  <c r="J6" i="2" s="1"/>
  <c r="BN21" i="2"/>
  <c r="AY22" i="2"/>
  <c r="CE19" i="2"/>
  <c r="BV11" i="2" s="1"/>
  <c r="BW11" i="2" s="1"/>
  <c r="CO103" i="2"/>
  <c r="BV19" i="2"/>
  <c r="J7" i="2" s="1"/>
  <c r="BB19" i="2"/>
  <c r="CT103" i="2"/>
  <c r="CP103" i="2"/>
  <c r="A100" i="4" l="1"/>
  <c r="A102" i="4" s="1"/>
  <c r="AV22" i="2"/>
  <c r="AU22" i="2"/>
  <c r="T34" i="4"/>
  <c r="AB23" i="4"/>
  <c r="T60" i="4"/>
  <c r="AN35" i="2"/>
  <c r="AN24" i="2"/>
  <c r="AN22" i="2"/>
  <c r="BA22" i="2"/>
  <c r="BS19" i="2"/>
  <c r="C10" i="2" s="1"/>
  <c r="BO19" i="2"/>
  <c r="C6" i="2" s="1"/>
  <c r="BP19" i="2"/>
  <c r="C7" i="2" s="1"/>
  <c r="BQ19" i="2"/>
  <c r="C8" i="2" s="1"/>
  <c r="BR19" i="2"/>
  <c r="C9" i="2" s="1"/>
  <c r="BW19" i="2"/>
  <c r="J8" i="2" s="1"/>
  <c r="J12" i="2" s="1"/>
  <c r="CO19" i="2"/>
  <c r="CT20" i="2"/>
  <c r="CP19" i="2"/>
  <c r="BE19" i="2" l="1"/>
  <c r="T59" i="4"/>
  <c r="AN19" i="2"/>
  <c r="AU19" i="2"/>
  <c r="AV19" i="2"/>
  <c r="BA19" i="2"/>
  <c r="BE6" i="2" s="1"/>
  <c r="C12" i="2"/>
  <c r="CT19" i="2"/>
  <c r="CU20" i="2"/>
  <c r="CU19" i="2" s="1"/>
  <c r="BE8" i="2" l="1"/>
  <c r="BJ7" i="2" s="1"/>
  <c r="T49" i="4"/>
  <c r="T61" i="4"/>
  <c r="BE7" i="2"/>
  <c r="BE9" i="2" s="1"/>
  <c r="AQ13" i="4"/>
  <c r="BE11" i="2" l="1"/>
  <c r="T62" i="4"/>
  <c r="T65" i="4" l="1"/>
  <c r="T64" i="4"/>
  <c r="T66" i="4" l="1"/>
  <c r="T72" i="4" l="1"/>
  <c r="T73" i="4" l="1"/>
  <c r="T75" i="4" l="1"/>
  <c r="T77" i="4" l="1"/>
  <c r="T79" i="4" l="1"/>
  <c r="AG23" i="4" l="1"/>
  <c r="T23" i="4"/>
  <c r="T20" i="6" l="1"/>
  <c r="Z20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vlaasy</author>
  </authors>
  <commentList>
    <comment ref="P17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JEDNÁ SE O CELOU VÝŠKU ŠACHTY</t>
        </r>
      </text>
    </comment>
    <comment ref="P103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JEDNÁ SE O CELOU VÝŠKU ŠACHTY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vlaasy</author>
  </authors>
  <commentList>
    <comment ref="E2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>Šířka i s obetonováním</t>
        </r>
      </text>
    </comment>
    <comment ref="G22" authorId="0" shapeId="0" xr:uid="{00000000-0006-0000-0100-000002000000}">
      <text>
        <r>
          <rPr>
            <sz val="8"/>
            <color indexed="81"/>
            <rFont val="Tahoma"/>
            <family val="2"/>
            <charset val="238"/>
          </rPr>
          <t xml:space="preserve">I s obetonováním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vlaasy</author>
  </authors>
  <commentList>
    <comment ref="H12" authorId="0" shapeId="0" xr:uid="{8E5E45DD-E75A-403A-A65C-10DBD43330EC}">
      <text>
        <r>
          <rPr>
            <sz val="8"/>
            <color indexed="81"/>
            <rFont val="Tahoma"/>
            <family val="2"/>
            <charset val="238"/>
          </rPr>
          <t>JEDNÁ SE O CELOU VÝŠKU ŠACHTY</t>
        </r>
      </text>
    </comment>
    <comment ref="H21" authorId="0" shapeId="0" xr:uid="{E4AB9A1A-B608-4D93-B129-396A5A61D4BD}">
      <text>
        <r>
          <rPr>
            <sz val="8"/>
            <color indexed="81"/>
            <rFont val="Tahoma"/>
            <family val="2"/>
            <charset val="238"/>
          </rPr>
          <t>JEDNÁ SE O CELOU VÝŠKU ŠACHTY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vlaasy</author>
  </authors>
  <commentList>
    <comment ref="M3" authorId="0" shapeId="0" xr:uid="{B5F78662-6AF0-417A-9999-60FD7AA8A4AC}">
      <text>
        <r>
          <rPr>
            <sz val="8"/>
            <color indexed="81"/>
            <rFont val="Tahoma"/>
            <family val="2"/>
            <charset val="238"/>
          </rPr>
          <t>JEDNÁ SE O CELOU VÝŠKU ŠACHTY</t>
        </r>
      </text>
    </comment>
  </commentList>
</comments>
</file>

<file path=xl/sharedStrings.xml><?xml version="1.0" encoding="utf-8"?>
<sst xmlns="http://schemas.openxmlformats.org/spreadsheetml/2006/main" count="1977" uniqueCount="394">
  <si>
    <t>Kari st 6/150 =1</t>
  </si>
  <si>
    <t>0 = plast</t>
  </si>
  <si>
    <t>Kari st 6/100 =2</t>
  </si>
  <si>
    <t>1 = ŽB</t>
  </si>
  <si>
    <t>Kari st 8/100 =3</t>
  </si>
  <si>
    <t>12/150</t>
  </si>
  <si>
    <t>Šachta</t>
  </si>
  <si>
    <t>Šířka</t>
  </si>
  <si>
    <t>Délka</t>
  </si>
  <si>
    <t>Výška</t>
  </si>
  <si>
    <t>Dodatek</t>
  </si>
  <si>
    <t>m2</t>
  </si>
  <si>
    <t>Výkop</t>
  </si>
  <si>
    <t>Zásyp</t>
  </si>
  <si>
    <r>
      <t xml:space="preserve">Trubky 
počet
 </t>
    </r>
    <r>
      <rPr>
        <b/>
        <sz val="10"/>
        <rFont val="Calibri"/>
        <family val="2"/>
        <charset val="238"/>
      </rPr>
      <t>Ø 110mm</t>
    </r>
  </si>
  <si>
    <t>Multikanál
 délka</t>
  </si>
  <si>
    <t>B125</t>
  </si>
  <si>
    <t>Poklop</t>
  </si>
  <si>
    <t>IZOLACE ŠACHET</t>
  </si>
  <si>
    <t>OCHRANA ŠACHET</t>
  </si>
  <si>
    <t>Trubky 
délka</t>
  </si>
  <si>
    <t>Mezišachetní 
úseky</t>
  </si>
  <si>
    <t>ANO</t>
  </si>
  <si>
    <t>NE</t>
  </si>
  <si>
    <t>IZOLACE</t>
  </si>
  <si>
    <t>M2</t>
  </si>
  <si>
    <t>ASF 
NÁTĚR</t>
  </si>
  <si>
    <t>Výška 
komínků</t>
  </si>
  <si>
    <t>Beton / Kompozit</t>
  </si>
  <si>
    <t xml:space="preserve">KABEL KOMORY ZE ŽELBET S VÝZTUŽÍ, PŮDORYS PLOCHY DO </t>
  </si>
  <si>
    <t xml:space="preserve"> 4,5M2</t>
  </si>
  <si>
    <t xml:space="preserve"> 5,5M2</t>
  </si>
  <si>
    <t xml:space="preserve"> 6,5M2</t>
  </si>
  <si>
    <t xml:space="preserve"> 7,5M2</t>
  </si>
  <si>
    <t>DO 4,5M2</t>
  </si>
  <si>
    <t>DO 5,5M2</t>
  </si>
  <si>
    <t>DO 6,5M2</t>
  </si>
  <si>
    <t>DO 7,5M2</t>
  </si>
  <si>
    <t>1,1x1,69</t>
  </si>
  <si>
    <t>Plastové
 šachty</t>
  </si>
  <si>
    <t>hloubka</t>
  </si>
  <si>
    <t>0,5-0,65</t>
  </si>
  <si>
    <t>1,1-1,3</t>
  </si>
  <si>
    <t>1,4-1,7</t>
  </si>
  <si>
    <t>1,69x0,8</t>
  </si>
  <si>
    <t>1,69x1,1</t>
  </si>
  <si>
    <t>1,4x1,1</t>
  </si>
  <si>
    <t>1,4x0,8</t>
  </si>
  <si>
    <t>0,55x0,715</t>
  </si>
  <si>
    <t>0,55x1,02</t>
  </si>
  <si>
    <t>1,02x0,715</t>
  </si>
  <si>
    <t>nad 7,5M3</t>
  </si>
  <si>
    <t>nad 7,5m2</t>
  </si>
  <si>
    <t>Celkem</t>
  </si>
  <si>
    <t>Š07-Š08</t>
  </si>
  <si>
    <t>Š08-Š09</t>
  </si>
  <si>
    <t>Š09-Š10</t>
  </si>
  <si>
    <t>Podkladní beton</t>
  </si>
  <si>
    <t>multikan</t>
  </si>
  <si>
    <t>vedle sebe</t>
  </si>
  <si>
    <t>Multikanál
celkem</t>
  </si>
  <si>
    <t>Půd. 
Plocha</t>
  </si>
  <si>
    <t>0,65-1,0</t>
  </si>
  <si>
    <t>1,71-2,2</t>
  </si>
  <si>
    <t>m3</t>
  </si>
  <si>
    <t>Odvodňovací 
Trubka</t>
  </si>
  <si>
    <t>dl</t>
  </si>
  <si>
    <t>V=1/3  x  v x (S1+S2+DRUHÁ ODMOCNINA S1-S2)</t>
  </si>
  <si>
    <t>S1</t>
  </si>
  <si>
    <t>S2</t>
  </si>
  <si>
    <t>S1*S2</t>
  </si>
  <si>
    <t>DR.ODM.</t>
  </si>
  <si>
    <t>V</t>
  </si>
  <si>
    <t>CELKEM</t>
  </si>
  <si>
    <t>Zpřesnění</t>
  </si>
  <si>
    <t>Nástupiště</t>
  </si>
  <si>
    <t>zásyp</t>
  </si>
  <si>
    <t>ASF. 
PÁSY 2x</t>
  </si>
  <si>
    <t>počet
 poklopů</t>
  </si>
  <si>
    <t>Tl. 
stěn</t>
  </si>
  <si>
    <t>Plasto
vé 
šachta</t>
  </si>
  <si>
    <t>Výška P=0,00</t>
  </si>
  <si>
    <r>
      <t xml:space="preserve">Trubky 
počet
 </t>
    </r>
    <r>
      <rPr>
        <b/>
        <sz val="10"/>
        <rFont val="Calibri"/>
        <family val="2"/>
        <charset val="238"/>
      </rPr>
      <t>Ø 200mm</t>
    </r>
  </si>
  <si>
    <t>ks</t>
  </si>
  <si>
    <t>pažící 
boxy do 4,0m</t>
  </si>
  <si>
    <t>ocelový rám (Heb 300)</t>
  </si>
  <si>
    <t>Výkop větší o</t>
  </si>
  <si>
    <t>podkl bet.
plocha m2</t>
  </si>
  <si>
    <t>Trubky 
110 délka</t>
  </si>
  <si>
    <t>m</t>
  </si>
  <si>
    <t>Objem
šachty
bez krčku</t>
  </si>
  <si>
    <t>KABEL KOMORY ZE ŽELBET S VÝZTUŽÍ, OBJEM</t>
  </si>
  <si>
    <t>5,0-10,0 m3</t>
  </si>
  <si>
    <t>0-5,0 m3</t>
  </si>
  <si>
    <t>10,0-15,0 m3</t>
  </si>
  <si>
    <t>15,0-20,0 m3</t>
  </si>
  <si>
    <t>20,0-větší</t>
  </si>
  <si>
    <t>DO 5,0 m3</t>
  </si>
  <si>
    <t>5,0-10,0m3</t>
  </si>
  <si>
    <t>10,0-15,0m3</t>
  </si>
  <si>
    <t>15,0-20,0m3</t>
  </si>
  <si>
    <t>Geotextilie</t>
  </si>
  <si>
    <t>Geotextilie
M2</t>
  </si>
  <si>
    <t>Karisíť v obeto
nování
M2</t>
  </si>
  <si>
    <t>Zpětný 
zásyp</t>
  </si>
  <si>
    <t>Nově nakupovaný mat 15%</t>
  </si>
  <si>
    <t>Odvoz mat</t>
  </si>
  <si>
    <t>Podkladní bet C16/20
M3</t>
  </si>
  <si>
    <t>Probetonování trubek</t>
  </si>
  <si>
    <t>Odečteno z výkresu</t>
  </si>
  <si>
    <t>Beton</t>
  </si>
  <si>
    <t>geotextilie 300g m2</t>
  </si>
  <si>
    <t>Izolace</t>
  </si>
  <si>
    <t>nátěr</t>
  </si>
  <si>
    <t>pásy</t>
  </si>
  <si>
    <t>Terén nad kabelovodem</t>
  </si>
  <si>
    <t>výkop
z výkresu</t>
  </si>
  <si>
    <t>Podkladní bet
C16/20</t>
  </si>
  <si>
    <t>Kari síť pro C16/20</t>
  </si>
  <si>
    <t>Geotextilie
pod podkl bet
M3</t>
  </si>
  <si>
    <t>Robust pipe</t>
  </si>
  <si>
    <t>žb=1,2
plast=0,75</t>
  </si>
  <si>
    <t>TL 100  A 250MM</t>
  </si>
  <si>
    <t>Jen na 
trubky 
110</t>
  </si>
  <si>
    <t>Jen na 
trubky 
160</t>
  </si>
  <si>
    <t>Jen na 
trubky 
200</t>
  </si>
  <si>
    <t>Š12-Š13</t>
  </si>
  <si>
    <t>stezka</t>
  </si>
  <si>
    <t>Prostupky pro trubky 
(vodotěsné těsnění, a jen pro napojení trubek)</t>
  </si>
  <si>
    <t>Betono-
vá 
šachta</t>
  </si>
  <si>
    <t>obetonování 
(stěny)
Šachty (m3)</t>
  </si>
  <si>
    <t>výkop
(m3)</t>
  </si>
  <si>
    <t>Zásyp z výkresu (m2)</t>
  </si>
  <si>
    <t>Zásyp (m3)</t>
  </si>
  <si>
    <t>Využitelný mat z výkopu 65%</t>
  </si>
  <si>
    <t>Š06</t>
  </si>
  <si>
    <t>Š07</t>
  </si>
  <si>
    <t>Š08</t>
  </si>
  <si>
    <t>Š09</t>
  </si>
  <si>
    <t>Š10</t>
  </si>
  <si>
    <t>Š12</t>
  </si>
  <si>
    <t>Š22</t>
  </si>
  <si>
    <t>Š23</t>
  </si>
  <si>
    <t>Š24</t>
  </si>
  <si>
    <t>Š25</t>
  </si>
  <si>
    <t>Š26</t>
  </si>
  <si>
    <t>Š27</t>
  </si>
  <si>
    <t>Š28</t>
  </si>
  <si>
    <t>Š29</t>
  </si>
  <si>
    <t>Š30</t>
  </si>
  <si>
    <t>Š31</t>
  </si>
  <si>
    <t>Š32</t>
  </si>
  <si>
    <t>Š33</t>
  </si>
  <si>
    <t>Š34</t>
  </si>
  <si>
    <t>Š35</t>
  </si>
  <si>
    <t>Š42</t>
  </si>
  <si>
    <t>Š43</t>
  </si>
  <si>
    <t>Š44</t>
  </si>
  <si>
    <t>Pro zadláždění</t>
  </si>
  <si>
    <t>Š17-Š18</t>
  </si>
  <si>
    <t>Š21-Š22</t>
  </si>
  <si>
    <t>Š22-Š23</t>
  </si>
  <si>
    <t>Š23-Š24</t>
  </si>
  <si>
    <t>Š24-Š25</t>
  </si>
  <si>
    <t>Š27-Š28</t>
  </si>
  <si>
    <t>Š28-Š29</t>
  </si>
  <si>
    <t>Š29-Š30</t>
  </si>
  <si>
    <t>Š31-Š32</t>
  </si>
  <si>
    <t>Š33-Š34</t>
  </si>
  <si>
    <t>Š42-Š43</t>
  </si>
  <si>
    <t>Š43-Š44</t>
  </si>
  <si>
    <t>Využitelný mat z výkopu 70%</t>
  </si>
  <si>
    <t xml:space="preserve">
Délka i se 
započtenou šířkou stěn šachet</t>
  </si>
  <si>
    <t>Umístění</t>
  </si>
  <si>
    <t>Obetonování ochrana
C25/30</t>
  </si>
  <si>
    <r>
      <t xml:space="preserve">Trubky 
počet
 </t>
    </r>
    <r>
      <rPr>
        <b/>
        <sz val="10"/>
        <rFont val="Calibri"/>
        <family val="2"/>
        <charset val="238"/>
      </rPr>
      <t>Ø 160mm</t>
    </r>
  </si>
  <si>
    <t>Š18</t>
  </si>
  <si>
    <t>lávky 
kg</t>
  </si>
  <si>
    <t>Sádrovláknité 
desky tl.8-12mm
m2</t>
  </si>
  <si>
    <t>kg</t>
  </si>
  <si>
    <t>Š24-eskalator</t>
  </si>
  <si>
    <t>řady</t>
  </si>
  <si>
    <t>sloupce</t>
  </si>
  <si>
    <t>nebude</t>
  </si>
  <si>
    <t>ano</t>
  </si>
  <si>
    <t>geotextilie Na podkladní
 bet</t>
  </si>
  <si>
    <t>geotextilie Ochrana izolace</t>
  </si>
  <si>
    <t>geotextilie Na obetonování</t>
  </si>
  <si>
    <t>Kari síť v podkl 
bet m2</t>
  </si>
  <si>
    <t>nástupiště</t>
  </si>
  <si>
    <t>Pod kolejemi</t>
  </si>
  <si>
    <t>Nově nakupovaný mat 10%</t>
  </si>
  <si>
    <t>vodo-těsné 
trubky 
110</t>
  </si>
  <si>
    <t>vodo-těsné 
trubky 
160</t>
  </si>
  <si>
    <t>vodo-těsné 
trubky 
200</t>
  </si>
  <si>
    <t>2 poklopy</t>
  </si>
  <si>
    <t>Š06a</t>
  </si>
  <si>
    <t>Š11</t>
  </si>
  <si>
    <t>Š13</t>
  </si>
  <si>
    <t>Š14</t>
  </si>
  <si>
    <t>Š15</t>
  </si>
  <si>
    <t>Š16</t>
  </si>
  <si>
    <t>Š17</t>
  </si>
  <si>
    <t>Š19</t>
  </si>
  <si>
    <t>Š19a</t>
  </si>
  <si>
    <t>Š20</t>
  </si>
  <si>
    <t>Š20a</t>
  </si>
  <si>
    <t>Š21</t>
  </si>
  <si>
    <t>Š21a</t>
  </si>
  <si>
    <t>Š36</t>
  </si>
  <si>
    <t>Š37</t>
  </si>
  <si>
    <t>Š38</t>
  </si>
  <si>
    <t>Š39</t>
  </si>
  <si>
    <t>Š40</t>
  </si>
  <si>
    <t>Š41</t>
  </si>
  <si>
    <t>kompozit</t>
  </si>
  <si>
    <t>Terén</t>
  </si>
  <si>
    <t>Ano</t>
  </si>
  <si>
    <t>Ne</t>
  </si>
  <si>
    <t>Počet lávek na stěně (ks)</t>
  </si>
  <si>
    <t>délka lávek na jedné stěně
(m)</t>
  </si>
  <si>
    <t>Š06-Š06a</t>
  </si>
  <si>
    <t>Š06-Š08</t>
  </si>
  <si>
    <t>Š10-Š11</t>
  </si>
  <si>
    <t>Š11-Š12</t>
  </si>
  <si>
    <t>Š13-Š14</t>
  </si>
  <si>
    <t>Š14-Š15</t>
  </si>
  <si>
    <t>Š15-Š16</t>
  </si>
  <si>
    <t>Š16-Š17</t>
  </si>
  <si>
    <t>Š19-Š20</t>
  </si>
  <si>
    <t>Š20-Š21</t>
  </si>
  <si>
    <t>Š17-nástupiště</t>
  </si>
  <si>
    <t>Š18-nástupiště</t>
  </si>
  <si>
    <t>Š16-Š19</t>
  </si>
  <si>
    <t>Š19-Š19a</t>
  </si>
  <si>
    <t>Š20-Š20a</t>
  </si>
  <si>
    <t>Š21-Š21a</t>
  </si>
  <si>
    <t>Š26-Š27</t>
  </si>
  <si>
    <t>Stáv. Š05-Š07</t>
  </si>
  <si>
    <t>Stáv. Š6-NOVÁ Š6</t>
  </si>
  <si>
    <t>Š35-Š36</t>
  </si>
  <si>
    <t>Š36-Š37</t>
  </si>
  <si>
    <t>Š37-Š38</t>
  </si>
  <si>
    <t>Š38-Š39</t>
  </si>
  <si>
    <t>Š40-Š41</t>
  </si>
  <si>
    <t>nástupiště - hradby</t>
  </si>
  <si>
    <t>Š45</t>
  </si>
  <si>
    <t>C250</t>
  </si>
  <si>
    <t>Alternativní bílý 
NÁTĚR</t>
  </si>
  <si>
    <t>ne</t>
  </si>
  <si>
    <t>obetonování tl 0,1m
šachty  (m3)</t>
  </si>
  <si>
    <t>Karisíť v obeto
nování</t>
  </si>
  <si>
    <t>Karisíť v podkl (1 vrstva)
M2</t>
  </si>
  <si>
    <t>Výkop 
(pažený nasvislo)</t>
  </si>
  <si>
    <t>Celý 
a nebo 
částečný</t>
  </si>
  <si>
    <t>Pažení 
Těžké boxy</t>
  </si>
  <si>
    <t>Pažení 
(štětovnice výšky 6,0m)</t>
  </si>
  <si>
    <t>Pažení Lehké boxy
(štětovnice výšky 4,0m,
zápory IPE 160 + výdřeva)</t>
  </si>
  <si>
    <t>Počet stěn s lávkou</t>
  </si>
  <si>
    <t>Zkrácené multikanály (300mm)</t>
  </si>
  <si>
    <t>Multikanály délky 1,0m</t>
  </si>
  <si>
    <t>Demolice st. kabelovodu mezi Š6-Š17</t>
  </si>
  <si>
    <t>Š23-Š41</t>
  </si>
  <si>
    <t>Š25-Š26</t>
  </si>
  <si>
    <t>Š30-31</t>
  </si>
  <si>
    <t>Š31-nast 1</t>
  </si>
  <si>
    <t>Š32-KONEC</t>
  </si>
  <si>
    <t>Š30-Š33</t>
  </si>
  <si>
    <t>Š34-Š35</t>
  </si>
  <si>
    <t>Š39-konec</t>
  </si>
  <si>
    <t>Š40-konec</t>
  </si>
  <si>
    <t>Š29-Š42</t>
  </si>
  <si>
    <t>Š44-Š45</t>
  </si>
  <si>
    <t>Š36-konec</t>
  </si>
  <si>
    <t>Probetonování a obetonování trubek
C16/20 (m3)</t>
  </si>
  <si>
    <t>Tvrdá ochrana izolace odečteno z výkresu</t>
  </si>
  <si>
    <t>Kari síť v podkl 
bet</t>
  </si>
  <si>
    <t>Kari síť v obetonovámní</t>
  </si>
  <si>
    <t>Podkladní bet 
odečteno z výkresu
(šířka)</t>
  </si>
  <si>
    <t>Kari síť v oetonování a ochraně izolace m2</t>
  </si>
  <si>
    <t>nepaženo</t>
  </si>
  <si>
    <t>Pažení Lehké boxy
(štětovnice výšky 4,0m,)</t>
  </si>
  <si>
    <t>Boxy
m2)</t>
  </si>
  <si>
    <t>Pažení 
Těžké boxy (nebo štětovnice nutno přidat 2,0m na výšku)</t>
  </si>
  <si>
    <t>Štětovnice (náhrada za boxy)</t>
  </si>
  <si>
    <t>Pažení Lehké boxy
(štětovnice výšky 4,0m,)
m2</t>
  </si>
  <si>
    <t>1,436 x 0,976</t>
  </si>
  <si>
    <t>2,03 x 1,326</t>
  </si>
  <si>
    <t>1,626 x 0,875</t>
  </si>
  <si>
    <t>Množství betonu (m3)</t>
  </si>
  <si>
    <t>Množství betonu (m3) S KOMÍNKEM</t>
  </si>
  <si>
    <t>Množství betonářské výtuže(kg)</t>
  </si>
  <si>
    <t>Š17a</t>
  </si>
  <si>
    <t>Š20b</t>
  </si>
  <si>
    <t>Š19b</t>
  </si>
  <si>
    <t>Š21b</t>
  </si>
  <si>
    <t>Š17-Š17a</t>
  </si>
  <si>
    <t>Š19b-nástupiště</t>
  </si>
  <si>
    <t>Š19a-Š19b</t>
  </si>
  <si>
    <t>Š20a-Š20b</t>
  </si>
  <si>
    <t>Š20b-nástupiště</t>
  </si>
  <si>
    <t>Š21a-Š21b</t>
  </si>
  <si>
    <t>Š21b-nástupiště</t>
  </si>
  <si>
    <t>PLOCHA IZOLACE</t>
  </si>
  <si>
    <t xml:space="preserve">Ano </t>
  </si>
  <si>
    <t>Š41A</t>
  </si>
  <si>
    <t>Š38-konec</t>
  </si>
  <si>
    <t>Š39-Š40</t>
  </si>
  <si>
    <t>Š41-Š41A</t>
  </si>
  <si>
    <t>Š41A-konec</t>
  </si>
  <si>
    <t>Š05</t>
  </si>
  <si>
    <t>Pouze těsněné kabely</t>
  </si>
  <si>
    <t>Obsah betonu na izolaci (m3)</t>
  </si>
  <si>
    <t>Podkladní beton  (m3)</t>
  </si>
  <si>
    <t>Opravený popis</t>
  </si>
  <si>
    <t>Automatický odkaz na list šachty</t>
  </si>
  <si>
    <t>Pomocný výpočet automatický výpočet</t>
  </si>
  <si>
    <t xml:space="preserve">Automatický výpočet </t>
  </si>
  <si>
    <t>Popis velikosti poklopů</t>
  </si>
  <si>
    <t>Umístění poklopů</t>
  </si>
  <si>
    <t>Podkladní bet C16/20 u ŽB šachet 0,15m a u plastových 0,1m(m3)</t>
  </si>
  <si>
    <t>0,15m</t>
  </si>
  <si>
    <t>0,1/0,15</t>
  </si>
  <si>
    <t>Kari síť v podkladním betonu</t>
  </si>
  <si>
    <t>Obsah betonu na trubním vedení na celou délku (m3)</t>
  </si>
  <si>
    <t>ZÁKLADY Z PROSTÉHO BETONU DO C16/20 (B20)</t>
  </si>
  <si>
    <t>Obsah betonu na izolaci na celou délku (m3)</t>
  </si>
  <si>
    <t>TĚLESO KABELOVODU ZE ŽELBET DO C25/30 (B30)</t>
  </si>
  <si>
    <t>plocha</t>
  </si>
  <si>
    <t>Vyplnit ručně
Měřeno v šachtě</t>
  </si>
  <si>
    <t>Vyplnit ručně</t>
  </si>
  <si>
    <t>Automatický výpočet
šířka venkovní s obetonávkou</t>
  </si>
  <si>
    <t>Automatický výpočet</t>
  </si>
  <si>
    <t>Obetonováno (tvarová stálost)</t>
  </si>
  <si>
    <t>Šířka + boky 0,1m na každou stranu</t>
  </si>
  <si>
    <t>Výška+ strop 0,1m navíc</t>
  </si>
  <si>
    <t>obsah trubek (odečítá se od plochy))
(m3)</t>
  </si>
  <si>
    <t>Obsah betonu mezi trubním vedením (suchá směs) na 1m běžný  počítáno od strany trubek 
(m3)</t>
  </si>
  <si>
    <t>Z původního výpočtu</t>
  </si>
  <si>
    <t>Je na vedení izolace</t>
  </si>
  <si>
    <t>Tvrdá ochrana izolace tl 100mm</t>
  </si>
  <si>
    <t>Obsah betonu na izolaci
na celou délku (m3)</t>
  </si>
  <si>
    <t>Podkladní beton
(m3)</t>
  </si>
  <si>
    <t>Původní Kari síť</t>
  </si>
  <si>
    <t>kontrola</t>
  </si>
  <si>
    <t>není v tomto excelovém sešitu</t>
  </si>
  <si>
    <t>chyba</t>
  </si>
  <si>
    <t>Nově + 6</t>
  </si>
  <si>
    <t>Objem šachty s obetonováním</t>
  </si>
  <si>
    <t>Obetonováné na komíncích</t>
  </si>
  <si>
    <t>Objem betonu (ochrana izolace/šachty) obetonování</t>
  </si>
  <si>
    <t>Podkladní bet C16/20 (ŽB 0,15m, Plast 0,1m) -  (m3)</t>
  </si>
  <si>
    <t>Plocha podkladní beton</t>
  </si>
  <si>
    <t>Kari síť v obetonování izolace</t>
  </si>
  <si>
    <t>Opravený výpočet Kari sítě (m2)</t>
  </si>
  <si>
    <t>obetonování šachty</t>
  </si>
  <si>
    <t>Obetonování plast</t>
  </si>
  <si>
    <t>Obetonování žb</t>
  </si>
  <si>
    <r>
      <t xml:space="preserve">Trubky počet </t>
    </r>
    <r>
      <rPr>
        <b/>
        <sz val="10"/>
        <rFont val="Calibri"/>
        <family val="2"/>
        <charset val="238"/>
      </rPr>
      <t>Ø 200mm</t>
    </r>
  </si>
  <si>
    <r>
      <t xml:space="preserve">Trubky počet </t>
    </r>
    <r>
      <rPr>
        <b/>
        <sz val="10"/>
        <rFont val="Calibri"/>
        <family val="2"/>
        <charset val="238"/>
      </rPr>
      <t>Ø 160mm</t>
    </r>
  </si>
  <si>
    <t>Trubky 110 délka</t>
  </si>
  <si>
    <r>
      <t xml:space="preserve">Trubky počet </t>
    </r>
    <r>
      <rPr>
        <b/>
        <sz val="10"/>
        <rFont val="Calibri"/>
        <family val="2"/>
        <charset val="238"/>
      </rPr>
      <t>Ø 110mm</t>
    </r>
  </si>
  <si>
    <t>Multikanál 
vodorovně 
řady</t>
  </si>
  <si>
    <t>Multikanál 
svisle 
sloupce</t>
  </si>
  <si>
    <t>Trubky počet vodorovně řady</t>
  </si>
  <si>
    <t>Trubky počet svisle (sloupce</t>
  </si>
  <si>
    <t>Kontola</t>
  </si>
  <si>
    <t>obsah obetonování včetnš trubek 
(odečítá se od plochy)   (m3)</t>
  </si>
  <si>
    <t>Obsah trubek 110</t>
  </si>
  <si>
    <t>Obsah trubek 160</t>
  </si>
  <si>
    <t>Obsah multikanálů</t>
  </si>
  <si>
    <t>Plocha izolace na trase m2</t>
  </si>
  <si>
    <t>Kari síť v obetonování (m2)</t>
  </si>
  <si>
    <t xml:space="preserve">Šířka rozšířena o 0,25 na jednu stranu a o 0,55m 
na druhou stranu od strany trubek. Tedy 0,8m </t>
  </si>
  <si>
    <t>Trubky délka Ø 160mm</t>
  </si>
  <si>
    <t>Izolace nátěr</t>
  </si>
  <si>
    <t>Izolace asf pásy</t>
  </si>
  <si>
    <t>geotextilie</t>
  </si>
  <si>
    <t>Asfaltový nátěr</t>
  </si>
  <si>
    <t>Asfaltové pásy</t>
  </si>
  <si>
    <t>geotextilie pod podkladním betonem</t>
  </si>
  <si>
    <t>geotextilie na šachtě</t>
  </si>
  <si>
    <t>Asf. nátěr (m2)</t>
  </si>
  <si>
    <t>Geotextilie (m2)</t>
  </si>
  <si>
    <t>Asf. pásy (m2)</t>
  </si>
  <si>
    <t>asf nátěr</t>
  </si>
  <si>
    <t>asf pásy</t>
  </si>
  <si>
    <t>geotextilie na šachtě (pomoc)</t>
  </si>
  <si>
    <t>Geotextilie pod podkladní beton</t>
  </si>
  <si>
    <t>Geotextilie na obetonování</t>
  </si>
  <si>
    <t>kari</t>
  </si>
  <si>
    <t>výpočet Kari sítě v podkl bet(m2)</t>
  </si>
  <si>
    <t>C16/20</t>
  </si>
  <si>
    <t>C25/30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</si>
</sst>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"/>
    <numFmt numFmtId="166" formatCode="#,##0.0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color indexed="81"/>
      <name val="Tahoma"/>
      <family val="2"/>
      <charset val="238"/>
    </font>
    <font>
      <sz val="12"/>
      <name val="Arial CE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name val="Arial CE"/>
      <charset val="238"/>
    </font>
    <font>
      <b/>
      <sz val="13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name val="Arial CE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5" fillId="0" borderId="0"/>
  </cellStyleXfs>
  <cellXfs count="469">
    <xf numFmtId="0" fontId="0" fillId="0" borderId="0" xfId="0"/>
    <xf numFmtId="0" fontId="1" fillId="0" borderId="0" xfId="0" applyFont="1"/>
    <xf numFmtId="4" fontId="0" fillId="0" borderId="0" xfId="0" applyNumberFormat="1"/>
    <xf numFmtId="0" fontId="0" fillId="0" borderId="0" xfId="0" applyAlignment="1">
      <alignment horizontal="right"/>
    </xf>
    <xf numFmtId="164" fontId="2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3" fontId="0" fillId="0" borderId="0" xfId="0" applyNumberFormat="1" applyAlignment="1">
      <alignment horizontal="right"/>
    </xf>
    <xf numFmtId="3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/>
    <xf numFmtId="0" fontId="10" fillId="0" borderId="1" xfId="1" applyBorder="1" applyAlignment="1">
      <alignment horizontal="center"/>
    </xf>
    <xf numFmtId="0" fontId="10" fillId="4" borderId="2" xfId="1" applyFill="1" applyBorder="1" applyAlignment="1">
      <alignment horizontal="center"/>
    </xf>
    <xf numFmtId="0" fontId="10" fillId="0" borderId="2" xfId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3" fontId="0" fillId="0" borderId="2" xfId="0" applyNumberFormat="1" applyBorder="1" applyAlignment="1">
      <alignment horizontal="right"/>
    </xf>
    <xf numFmtId="165" fontId="0" fillId="0" borderId="2" xfId="0" applyNumberFormat="1" applyBorder="1"/>
    <xf numFmtId="0" fontId="0" fillId="0" borderId="9" xfId="0" applyBorder="1"/>
    <xf numFmtId="0" fontId="0" fillId="0" borderId="11" xfId="0" applyBorder="1"/>
    <xf numFmtId="0" fontId="0" fillId="0" borderId="10" xfId="0" applyBorder="1"/>
    <xf numFmtId="165" fontId="0" fillId="0" borderId="11" xfId="0" applyNumberFormat="1" applyBorder="1"/>
    <xf numFmtId="0" fontId="0" fillId="0" borderId="12" xfId="0" applyBorder="1"/>
    <xf numFmtId="0" fontId="4" fillId="0" borderId="0" xfId="0" applyFont="1" applyAlignment="1">
      <alignment horizontal="center" wrapText="1"/>
    </xf>
    <xf numFmtId="0" fontId="12" fillId="0" borderId="15" xfId="0" applyFont="1" applyBorder="1" applyAlignment="1">
      <alignment horizontal="center"/>
    </xf>
    <xf numFmtId="165" fontId="11" fillId="0" borderId="15" xfId="0" applyNumberFormat="1" applyFont="1" applyBorder="1"/>
    <xf numFmtId="2" fontId="0" fillId="0" borderId="0" xfId="0" applyNumberFormat="1"/>
    <xf numFmtId="0" fontId="10" fillId="0" borderId="0" xfId="1" applyAlignment="1">
      <alignment horizontal="center"/>
    </xf>
    <xf numFmtId="0" fontId="10" fillId="0" borderId="0" xfId="1"/>
    <xf numFmtId="2" fontId="0" fillId="0" borderId="10" xfId="0" applyNumberFormat="1" applyBorder="1"/>
    <xf numFmtId="49" fontId="13" fillId="5" borderId="16" xfId="3" applyNumberFormat="1" applyFont="1" applyFill="1" applyBorder="1" applyAlignment="1">
      <alignment vertical="center" wrapText="1"/>
    </xf>
    <xf numFmtId="49" fontId="13" fillId="5" borderId="16" xfId="4" applyNumberFormat="1" applyFont="1" applyFill="1" applyBorder="1" applyAlignment="1">
      <alignment vertical="center" wrapText="1"/>
    </xf>
    <xf numFmtId="49" fontId="13" fillId="5" borderId="17" xfId="5" applyNumberFormat="1" applyFont="1" applyFill="1" applyBorder="1" applyAlignment="1">
      <alignment vertical="center" wrapText="1"/>
    </xf>
    <xf numFmtId="49" fontId="13" fillId="5" borderId="18" xfId="2" applyNumberFormat="1" applyFont="1" applyFill="1" applyBorder="1" applyAlignment="1">
      <alignment vertical="center" wrapText="1"/>
    </xf>
    <xf numFmtId="49" fontId="13" fillId="5" borderId="15" xfId="2" applyNumberFormat="1" applyFont="1" applyFill="1" applyBorder="1" applyAlignment="1">
      <alignment vertical="center" wrapText="1"/>
    </xf>
    <xf numFmtId="0" fontId="14" fillId="0" borderId="0" xfId="0" applyFont="1" applyAlignment="1">
      <alignment horizontal="right"/>
    </xf>
    <xf numFmtId="165" fontId="1" fillId="0" borderId="0" xfId="0" applyNumberFormat="1" applyFont="1"/>
    <xf numFmtId="49" fontId="13" fillId="5" borderId="19" xfId="5" applyNumberFormat="1" applyFont="1" applyFill="1" applyBorder="1" applyAlignment="1">
      <alignment vertical="center" wrapText="1"/>
    </xf>
    <xf numFmtId="0" fontId="12" fillId="0" borderId="0" xfId="0" applyFont="1"/>
    <xf numFmtId="3" fontId="0" fillId="0" borderId="0" xfId="0" applyNumberFormat="1"/>
    <xf numFmtId="2" fontId="0" fillId="0" borderId="23" xfId="0" applyNumberFormat="1" applyBorder="1"/>
    <xf numFmtId="2" fontId="0" fillId="0" borderId="25" xfId="0" applyNumberFormat="1" applyBorder="1"/>
    <xf numFmtId="2" fontId="0" fillId="0" borderId="26" xfId="0" applyNumberFormat="1" applyBorder="1"/>
    <xf numFmtId="2" fontId="0" fillId="0" borderId="1" xfId="0" applyNumberFormat="1" applyBorder="1" applyAlignment="1">
      <alignment horizontal="right"/>
    </xf>
    <xf numFmtId="0" fontId="0" fillId="0" borderId="27" xfId="0" applyBorder="1"/>
    <xf numFmtId="0" fontId="0" fillId="0" borderId="25" xfId="0" applyBorder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165" fontId="0" fillId="0" borderId="27" xfId="0" applyNumberFormat="1" applyBorder="1"/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4" fillId="0" borderId="0" xfId="0" applyFont="1" applyAlignment="1">
      <alignment horizontal="right"/>
    </xf>
    <xf numFmtId="0" fontId="0" fillId="0" borderId="20" xfId="0" applyBorder="1"/>
    <xf numFmtId="0" fontId="0" fillId="0" borderId="21" xfId="0" applyBorder="1"/>
    <xf numFmtId="2" fontId="0" fillId="0" borderId="21" xfId="0" applyNumberFormat="1" applyBorder="1"/>
    <xf numFmtId="0" fontId="10" fillId="0" borderId="21" xfId="1" applyBorder="1" applyAlignment="1">
      <alignment horizontal="center"/>
    </xf>
    <xf numFmtId="0" fontId="10" fillId="0" borderId="21" xfId="1" applyBorder="1"/>
    <xf numFmtId="2" fontId="0" fillId="0" borderId="12" xfId="0" applyNumberFormat="1" applyBorder="1"/>
    <xf numFmtId="2" fontId="0" fillId="0" borderId="24" xfId="0" applyNumberFormat="1" applyBorder="1"/>
    <xf numFmtId="2" fontId="0" fillId="0" borderId="13" xfId="0" applyNumberFormat="1" applyBorder="1" applyAlignment="1">
      <alignment horizontal="right"/>
    </xf>
    <xf numFmtId="0" fontId="0" fillId="0" borderId="14" xfId="0" applyBorder="1"/>
    <xf numFmtId="165" fontId="0" fillId="0" borderId="13" xfId="0" applyNumberFormat="1" applyBorder="1"/>
    <xf numFmtId="165" fontId="0" fillId="0" borderId="14" xfId="0" applyNumberFormat="1" applyBorder="1"/>
    <xf numFmtId="165" fontId="0" fillId="0" borderId="21" xfId="0" applyNumberFormat="1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4" fillId="0" borderId="2" xfId="0" applyFont="1" applyBorder="1" applyAlignment="1">
      <alignment horizontal="right" wrapText="1"/>
    </xf>
    <xf numFmtId="0" fontId="4" fillId="0" borderId="2" xfId="0" applyFont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0" fillId="0" borderId="29" xfId="0" applyBorder="1"/>
    <xf numFmtId="0" fontId="0" fillId="0" borderId="29" xfId="0" applyBorder="1" applyAlignment="1">
      <alignment horizontal="right"/>
    </xf>
    <xf numFmtId="0" fontId="4" fillId="0" borderId="29" xfId="0" applyFont="1" applyBorder="1" applyAlignment="1">
      <alignment horizontal="right" wrapText="1"/>
    </xf>
    <xf numFmtId="0" fontId="7" fillId="0" borderId="10" xfId="0" applyFont="1" applyBorder="1"/>
    <xf numFmtId="0" fontId="4" fillId="0" borderId="11" xfId="0" applyFont="1" applyBorder="1" applyAlignment="1">
      <alignment horizontal="right" wrapText="1"/>
    </xf>
    <xf numFmtId="0" fontId="5" fillId="2" borderId="10" xfId="0" applyFont="1" applyFill="1" applyBorder="1"/>
    <xf numFmtId="0" fontId="5" fillId="0" borderId="10" xfId="0" applyFont="1" applyBorder="1"/>
    <xf numFmtId="0" fontId="0" fillId="0" borderId="13" xfId="0" applyBorder="1"/>
    <xf numFmtId="49" fontId="13" fillId="5" borderId="0" xfId="2" applyNumberFormat="1" applyFont="1" applyFill="1" applyAlignment="1">
      <alignment vertical="center" wrapText="1"/>
    </xf>
    <xf numFmtId="49" fontId="13" fillId="5" borderId="0" xfId="3" applyNumberFormat="1" applyFont="1" applyFill="1" applyAlignment="1">
      <alignment vertical="center" wrapText="1"/>
    </xf>
    <xf numFmtId="49" fontId="13" fillId="5" borderId="0" xfId="4" applyNumberFormat="1" applyFont="1" applyFill="1" applyAlignment="1">
      <alignment vertical="center" wrapText="1"/>
    </xf>
    <xf numFmtId="49" fontId="13" fillId="5" borderId="0" xfId="5" applyNumberFormat="1" applyFont="1" applyFill="1" applyAlignment="1">
      <alignment vertical="center" wrapText="1"/>
    </xf>
    <xf numFmtId="0" fontId="17" fillId="0" borderId="0" xfId="0" applyFont="1"/>
    <xf numFmtId="3" fontId="17" fillId="0" borderId="0" xfId="0" applyNumberFormat="1" applyFont="1"/>
    <xf numFmtId="166" fontId="3" fillId="2" borderId="2" xfId="0" applyNumberFormat="1" applyFont="1" applyFill="1" applyBorder="1" applyAlignment="1">
      <alignment horizontal="right"/>
    </xf>
    <xf numFmtId="166" fontId="3" fillId="2" borderId="11" xfId="0" applyNumberFormat="1" applyFont="1" applyFill="1" applyBorder="1" applyAlignment="1">
      <alignment horizontal="right"/>
    </xf>
    <xf numFmtId="0" fontId="4" fillId="0" borderId="32" xfId="0" applyFont="1" applyBorder="1" applyAlignment="1">
      <alignment horizontal="right" wrapText="1"/>
    </xf>
    <xf numFmtId="166" fontId="3" fillId="2" borderId="32" xfId="0" applyNumberFormat="1" applyFont="1" applyFill="1" applyBorder="1" applyAlignment="1">
      <alignment horizontal="right"/>
    </xf>
    <xf numFmtId="166" fontId="3" fillId="2" borderId="16" xfId="0" applyNumberFormat="1" applyFont="1" applyFill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3" fontId="0" fillId="0" borderId="1" xfId="0" applyNumberFormat="1" applyBorder="1" applyAlignment="1">
      <alignment horizontal="right"/>
    </xf>
    <xf numFmtId="0" fontId="0" fillId="0" borderId="1" xfId="0" applyBorder="1"/>
    <xf numFmtId="0" fontId="0" fillId="0" borderId="37" xfId="0" applyBorder="1"/>
    <xf numFmtId="4" fontId="11" fillId="0" borderId="38" xfId="0" applyNumberFormat="1" applyFont="1" applyBorder="1"/>
    <xf numFmtId="4" fontId="0" fillId="0" borderId="38" xfId="0" applyNumberFormat="1" applyBorder="1"/>
    <xf numFmtId="4" fontId="0" fillId="0" borderId="21" xfId="0" applyNumberFormat="1" applyBorder="1" applyAlignment="1">
      <alignment wrapText="1"/>
    </xf>
    <xf numFmtId="4" fontId="0" fillId="0" borderId="37" xfId="0" applyNumberFormat="1" applyBorder="1"/>
    <xf numFmtId="4" fontId="11" fillId="0" borderId="39" xfId="0" applyNumberFormat="1" applyFont="1" applyBorder="1"/>
    <xf numFmtId="165" fontId="11" fillId="0" borderId="14" xfId="0" applyNumberFormat="1" applyFont="1" applyBorder="1"/>
    <xf numFmtId="0" fontId="0" fillId="0" borderId="31" xfId="0" applyBorder="1"/>
    <xf numFmtId="0" fontId="4" fillId="0" borderId="32" xfId="0" applyFont="1" applyBorder="1" applyAlignment="1">
      <alignment horizontal="right"/>
    </xf>
    <xf numFmtId="0" fontId="0" fillId="0" borderId="32" xfId="0" applyBorder="1"/>
    <xf numFmtId="0" fontId="0" fillId="0" borderId="40" xfId="0" applyBorder="1"/>
    <xf numFmtId="0" fontId="0" fillId="0" borderId="41" xfId="0" applyBorder="1"/>
    <xf numFmtId="0" fontId="4" fillId="0" borderId="23" xfId="0" applyFont="1" applyBorder="1" applyAlignment="1">
      <alignment horizontal="right" wrapText="1"/>
    </xf>
    <xf numFmtId="166" fontId="3" fillId="2" borderId="23" xfId="0" applyNumberFormat="1" applyFont="1" applyFill="1" applyBorder="1" applyAlignment="1">
      <alignment horizontal="right"/>
    </xf>
    <xf numFmtId="0" fontId="0" fillId="0" borderId="23" xfId="0" applyBorder="1"/>
    <xf numFmtId="0" fontId="0" fillId="0" borderId="30" xfId="0" applyBorder="1"/>
    <xf numFmtId="0" fontId="4" fillId="0" borderId="10" xfId="0" applyFont="1" applyBorder="1" applyAlignment="1">
      <alignment horizontal="right" wrapText="1"/>
    </xf>
    <xf numFmtId="166" fontId="3" fillId="2" borderId="10" xfId="0" applyNumberFormat="1" applyFont="1" applyFill="1" applyBorder="1" applyAlignment="1">
      <alignment horizontal="right"/>
    </xf>
    <xf numFmtId="166" fontId="0" fillId="0" borderId="0" xfId="0" applyNumberFormat="1"/>
    <xf numFmtId="3" fontId="4" fillId="0" borderId="2" xfId="0" applyNumberFormat="1" applyFont="1" applyBorder="1" applyAlignment="1">
      <alignment horizontal="right"/>
    </xf>
    <xf numFmtId="3" fontId="0" fillId="3" borderId="2" xfId="0" applyNumberFormat="1" applyFill="1" applyBorder="1" applyAlignment="1">
      <alignment horizontal="right"/>
    </xf>
    <xf numFmtId="0" fontId="10" fillId="4" borderId="1" xfId="1" applyFill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4" fillId="0" borderId="29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11" xfId="0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0" fontId="4" fillId="0" borderId="13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0" fillId="0" borderId="31" xfId="0" applyBorder="1" applyAlignment="1">
      <alignment horizontal="center"/>
    </xf>
    <xf numFmtId="0" fontId="0" fillId="0" borderId="42" xfId="0" applyBorder="1"/>
    <xf numFmtId="165" fontId="11" fillId="0" borderId="12" xfId="0" applyNumberFormat="1" applyFont="1" applyBorder="1"/>
    <xf numFmtId="0" fontId="4" fillId="0" borderId="23" xfId="0" applyFont="1" applyBorder="1" applyAlignment="1">
      <alignment horizontal="right"/>
    </xf>
    <xf numFmtId="0" fontId="4" fillId="0" borderId="24" xfId="0" applyFont="1" applyBorder="1" applyAlignment="1">
      <alignment horizontal="right"/>
    </xf>
    <xf numFmtId="0" fontId="5" fillId="0" borderId="9" xfId="0" applyFont="1" applyBorder="1" applyAlignment="1">
      <alignment horizontal="center"/>
    </xf>
    <xf numFmtId="0" fontId="4" fillId="0" borderId="30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3" fontId="4" fillId="0" borderId="11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3" fontId="4" fillId="0" borderId="14" xfId="0" applyNumberFormat="1" applyFont="1" applyBorder="1" applyAlignment="1">
      <alignment horizontal="right"/>
    </xf>
    <xf numFmtId="0" fontId="5" fillId="0" borderId="25" xfId="0" applyFont="1" applyBorder="1" applyAlignment="1">
      <alignment horizontal="center"/>
    </xf>
    <xf numFmtId="0" fontId="4" fillId="0" borderId="4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2" fontId="0" fillId="0" borderId="27" xfId="0" applyNumberFormat="1" applyBorder="1"/>
    <xf numFmtId="0" fontId="0" fillId="0" borderId="5" xfId="0" applyBorder="1" applyAlignment="1">
      <alignment horizontal="center" wrapText="1"/>
    </xf>
    <xf numFmtId="0" fontId="0" fillId="0" borderId="19" xfId="0" applyBorder="1"/>
    <xf numFmtId="0" fontId="16" fillId="0" borderId="0" xfId="0" applyFont="1"/>
    <xf numFmtId="165" fontId="16" fillId="0" borderId="0" xfId="0" applyNumberFormat="1" applyFont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4" fillId="0" borderId="9" xfId="0" applyFont="1" applyBorder="1" applyAlignment="1">
      <alignment horizontal="right" wrapText="1"/>
    </xf>
    <xf numFmtId="0" fontId="4" fillId="0" borderId="30" xfId="0" applyFont="1" applyBorder="1" applyAlignment="1">
      <alignment horizontal="right" wrapText="1"/>
    </xf>
    <xf numFmtId="0" fontId="1" fillId="0" borderId="10" xfId="0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0" fontId="16" fillId="0" borderId="9" xfId="0" applyFont="1" applyBorder="1"/>
    <xf numFmtId="165" fontId="1" fillId="0" borderId="10" xfId="0" applyNumberFormat="1" applyFont="1" applyBorder="1" applyAlignment="1">
      <alignment horizontal="right"/>
    </xf>
    <xf numFmtId="0" fontId="0" fillId="0" borderId="43" xfId="0" applyBorder="1"/>
    <xf numFmtId="0" fontId="4" fillId="0" borderId="44" xfId="0" applyFont="1" applyBorder="1" applyAlignment="1">
      <alignment horizontal="right" wrapText="1"/>
    </xf>
    <xf numFmtId="166" fontId="3" fillId="2" borderId="44" xfId="0" applyNumberFormat="1" applyFont="1" applyFill="1" applyBorder="1" applyAlignment="1">
      <alignment horizontal="right"/>
    </xf>
    <xf numFmtId="165" fontId="1" fillId="0" borderId="44" xfId="0" applyNumberFormat="1" applyFont="1" applyBorder="1" applyAlignment="1">
      <alignment horizontal="right"/>
    </xf>
    <xf numFmtId="0" fontId="0" fillId="0" borderId="45" xfId="0" applyBorder="1"/>
    <xf numFmtId="0" fontId="0" fillId="0" borderId="46" xfId="0" applyBorder="1"/>
    <xf numFmtId="0" fontId="4" fillId="0" borderId="47" xfId="0" applyFont="1" applyBorder="1" applyAlignment="1">
      <alignment horizontal="right" wrapText="1"/>
    </xf>
    <xf numFmtId="0" fontId="4" fillId="0" borderId="33" xfId="0" applyFont="1" applyBorder="1" applyAlignment="1">
      <alignment horizontal="right" wrapText="1"/>
    </xf>
    <xf numFmtId="166" fontId="3" fillId="2" borderId="47" xfId="0" applyNumberFormat="1" applyFont="1" applyFill="1" applyBorder="1" applyAlignment="1">
      <alignment horizontal="right"/>
    </xf>
    <xf numFmtId="165" fontId="1" fillId="0" borderId="47" xfId="0" applyNumberFormat="1" applyFont="1" applyBorder="1" applyAlignment="1">
      <alignment horizontal="right"/>
    </xf>
    <xf numFmtId="165" fontId="1" fillId="0" borderId="33" xfId="0" applyNumberFormat="1" applyFont="1" applyBorder="1" applyAlignment="1">
      <alignment horizontal="right"/>
    </xf>
    <xf numFmtId="0" fontId="18" fillId="0" borderId="0" xfId="0" applyFont="1"/>
    <xf numFmtId="165" fontId="18" fillId="0" borderId="0" xfId="0" applyNumberFormat="1" applyFont="1"/>
    <xf numFmtId="0" fontId="18" fillId="0" borderId="0" xfId="0" applyFont="1" applyAlignment="1">
      <alignment horizontal="right"/>
    </xf>
    <xf numFmtId="165" fontId="18" fillId="0" borderId="0" xfId="0" applyNumberFormat="1" applyFont="1" applyAlignment="1">
      <alignment horizontal="right"/>
    </xf>
    <xf numFmtId="0" fontId="0" fillId="0" borderId="26" xfId="0" applyBorder="1"/>
    <xf numFmtId="0" fontId="10" fillId="0" borderId="42" xfId="1" applyBorder="1"/>
    <xf numFmtId="0" fontId="10" fillId="0" borderId="32" xfId="1" applyBorder="1"/>
    <xf numFmtId="0" fontId="0" fillId="0" borderId="9" xfId="0" applyBorder="1" applyAlignment="1">
      <alignment horizontal="right" wrapText="1"/>
    </xf>
    <xf numFmtId="0" fontId="0" fillId="0" borderId="30" xfId="0" applyBorder="1" applyAlignment="1">
      <alignment horizontal="right"/>
    </xf>
    <xf numFmtId="0" fontId="0" fillId="0" borderId="32" xfId="0" applyBorder="1" applyAlignment="1">
      <alignment horizontal="right"/>
    </xf>
    <xf numFmtId="0" fontId="4" fillId="0" borderId="34" xfId="0" applyFont="1" applyBorder="1" applyAlignment="1">
      <alignment horizontal="right" wrapText="1"/>
    </xf>
    <xf numFmtId="0" fontId="0" fillId="0" borderId="16" xfId="0" applyBorder="1"/>
    <xf numFmtId="0" fontId="0" fillId="0" borderId="18" xfId="0" applyBorder="1"/>
    <xf numFmtId="0" fontId="0" fillId="0" borderId="5" xfId="0" applyBorder="1"/>
    <xf numFmtId="165" fontId="0" fillId="0" borderId="42" xfId="0" applyNumberFormat="1" applyBorder="1"/>
    <xf numFmtId="165" fontId="0" fillId="0" borderId="9" xfId="0" applyNumberFormat="1" applyBorder="1"/>
    <xf numFmtId="2" fontId="0" fillId="0" borderId="30" xfId="0" applyNumberFormat="1" applyBorder="1"/>
    <xf numFmtId="2" fontId="0" fillId="0" borderId="2" xfId="0" applyNumberFormat="1" applyBorder="1"/>
    <xf numFmtId="0" fontId="0" fillId="0" borderId="10" xfId="0" applyBorder="1" applyAlignment="1">
      <alignment wrapText="1"/>
    </xf>
    <xf numFmtId="0" fontId="0" fillId="0" borderId="42" xfId="0" applyBorder="1" applyAlignment="1">
      <alignment horizontal="center"/>
    </xf>
    <xf numFmtId="0" fontId="0" fillId="0" borderId="40" xfId="0" applyBorder="1" applyAlignment="1">
      <alignment horizontal="center"/>
    </xf>
    <xf numFmtId="4" fontId="11" fillId="0" borderId="49" xfId="0" applyNumberFormat="1" applyFont="1" applyBorder="1"/>
    <xf numFmtId="165" fontId="0" fillId="0" borderId="45" xfId="0" applyNumberFormat="1" applyBorder="1"/>
    <xf numFmtId="165" fontId="0" fillId="0" borderId="47" xfId="0" applyNumberFormat="1" applyBorder="1"/>
    <xf numFmtId="165" fontId="0" fillId="6" borderId="10" xfId="0" applyNumberFormat="1" applyFill="1" applyBorder="1"/>
    <xf numFmtId="2" fontId="0" fillId="0" borderId="26" xfId="0" applyNumberFormat="1" applyBorder="1" applyAlignment="1">
      <alignment horizontal="right"/>
    </xf>
    <xf numFmtId="2" fontId="0" fillId="0" borderId="1" xfId="0" applyNumberFormat="1" applyBorder="1"/>
    <xf numFmtId="4" fontId="11" fillId="0" borderId="35" xfId="0" applyNumberFormat="1" applyFont="1" applyBorder="1"/>
    <xf numFmtId="165" fontId="0" fillId="0" borderId="28" xfId="0" applyNumberFormat="1" applyBorder="1"/>
    <xf numFmtId="165" fontId="0" fillId="0" borderId="48" xfId="0" applyNumberFormat="1" applyBorder="1"/>
    <xf numFmtId="0" fontId="0" fillId="0" borderId="6" xfId="0" applyBorder="1" applyAlignment="1">
      <alignment horizontal="center" wrapText="1"/>
    </xf>
    <xf numFmtId="4" fontId="0" fillId="0" borderId="37" xfId="0" applyNumberFormat="1" applyBorder="1" applyAlignment="1">
      <alignment horizontal="center" wrapText="1"/>
    </xf>
    <xf numFmtId="0" fontId="0" fillId="0" borderId="25" xfId="0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2" xfId="0" applyBorder="1" applyAlignment="1">
      <alignment wrapText="1"/>
    </xf>
    <xf numFmtId="3" fontId="0" fillId="7" borderId="2" xfId="0" applyNumberFormat="1" applyFill="1" applyBorder="1" applyAlignment="1">
      <alignment horizontal="right"/>
    </xf>
    <xf numFmtId="2" fontId="0" fillId="0" borderId="50" xfId="0" applyNumberFormat="1" applyBorder="1"/>
    <xf numFmtId="4" fontId="11" fillId="0" borderId="6" xfId="0" applyNumberFormat="1" applyFont="1" applyBorder="1"/>
    <xf numFmtId="4" fontId="11" fillId="0" borderId="5" xfId="0" applyNumberFormat="1" applyFont="1" applyBorder="1"/>
    <xf numFmtId="4" fontId="0" fillId="0" borderId="12" xfId="0" applyNumberFormat="1" applyBorder="1"/>
    <xf numFmtId="4" fontId="0" fillId="0" borderId="13" xfId="0" applyNumberFormat="1" applyBorder="1"/>
    <xf numFmtId="4" fontId="11" fillId="0" borderId="13" xfId="0" applyNumberFormat="1" applyFont="1" applyBorder="1"/>
    <xf numFmtId="166" fontId="18" fillId="0" borderId="0" xfId="0" applyNumberFormat="1" applyFont="1"/>
    <xf numFmtId="0" fontId="0" fillId="0" borderId="24" xfId="0" applyBorder="1"/>
    <xf numFmtId="2" fontId="0" fillId="0" borderId="11" xfId="0" applyNumberFormat="1" applyBorder="1"/>
    <xf numFmtId="165" fontId="0" fillId="0" borderId="12" xfId="0" applyNumberFormat="1" applyBorder="1"/>
    <xf numFmtId="0" fontId="0" fillId="8" borderId="10" xfId="0" applyFill="1" applyBorder="1"/>
    <xf numFmtId="0" fontId="0" fillId="0" borderId="30" xfId="0" applyBorder="1" applyAlignment="1">
      <alignment wrapText="1"/>
    </xf>
    <xf numFmtId="4" fontId="11" fillId="0" borderId="51" xfId="0" applyNumberFormat="1" applyFont="1" applyBorder="1"/>
    <xf numFmtId="2" fontId="0" fillId="0" borderId="45" xfId="0" applyNumberFormat="1" applyBorder="1"/>
    <xf numFmtId="2" fontId="0" fillId="0" borderId="47" xfId="0" applyNumberFormat="1" applyBorder="1"/>
    <xf numFmtId="0" fontId="0" fillId="0" borderId="52" xfId="0" applyBorder="1"/>
    <xf numFmtId="0" fontId="0" fillId="0" borderId="11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166" fontId="20" fillId="0" borderId="0" xfId="0" applyNumberFormat="1" applyFont="1" applyAlignment="1">
      <alignment horizontal="left"/>
    </xf>
    <xf numFmtId="0" fontId="16" fillId="0" borderId="29" xfId="0" applyFont="1" applyBorder="1"/>
    <xf numFmtId="165" fontId="16" fillId="0" borderId="2" xfId="0" applyNumberFormat="1" applyFont="1" applyBorder="1"/>
    <xf numFmtId="0" fontId="0" fillId="7" borderId="2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1" borderId="32" xfId="0" applyFill="1" applyBorder="1"/>
    <xf numFmtId="0" fontId="0" fillId="12" borderId="2" xfId="0" applyFill="1" applyBorder="1"/>
    <xf numFmtId="2" fontId="0" fillId="0" borderId="10" xfId="0" applyNumberFormat="1" applyBorder="1" applyAlignment="1">
      <alignment horizontal="right"/>
    </xf>
    <xf numFmtId="166" fontId="18" fillId="0" borderId="0" xfId="0" applyNumberFormat="1" applyFont="1" applyAlignment="1">
      <alignment horizontal="right"/>
    </xf>
    <xf numFmtId="0" fontId="0" fillId="0" borderId="31" xfId="0" applyBorder="1" applyAlignment="1">
      <alignment horizontal="center" wrapText="1"/>
    </xf>
    <xf numFmtId="0" fontId="0" fillId="0" borderId="41" xfId="0" applyBorder="1" applyAlignment="1">
      <alignment wrapText="1"/>
    </xf>
    <xf numFmtId="4" fontId="11" fillId="0" borderId="40" xfId="0" applyNumberFormat="1" applyFont="1" applyBorder="1"/>
    <xf numFmtId="0" fontId="0" fillId="0" borderId="34" xfId="0" applyBorder="1" applyAlignment="1">
      <alignment horizontal="center" wrapText="1"/>
    </xf>
    <xf numFmtId="4" fontId="11" fillId="0" borderId="17" xfId="0" applyNumberFormat="1" applyFont="1" applyBorder="1"/>
    <xf numFmtId="0" fontId="10" fillId="8" borderId="1" xfId="1" applyFill="1" applyBorder="1" applyAlignment="1">
      <alignment horizontal="center"/>
    </xf>
    <xf numFmtId="0" fontId="10" fillId="6" borderId="1" xfId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3" xfId="0" applyBorder="1" applyAlignment="1">
      <alignment wrapText="1"/>
    </xf>
    <xf numFmtId="0" fontId="0" fillId="0" borderId="53" xfId="0" applyBorder="1"/>
    <xf numFmtId="0" fontId="0" fillId="8" borderId="2" xfId="0" applyFill="1" applyBorder="1"/>
    <xf numFmtId="0" fontId="16" fillId="0" borderId="0" xfId="0" applyFont="1" applyAlignment="1">
      <alignment horizontal="center"/>
    </xf>
    <xf numFmtId="0" fontId="16" fillId="0" borderId="2" xfId="0" applyFont="1" applyBorder="1" applyAlignment="1">
      <alignment horizontal="center"/>
    </xf>
    <xf numFmtId="0" fontId="0" fillId="0" borderId="54" xfId="0" applyBorder="1"/>
    <xf numFmtId="3" fontId="0" fillId="0" borderId="23" xfId="0" applyNumberFormat="1" applyBorder="1" applyAlignment="1">
      <alignment horizontal="right"/>
    </xf>
    <xf numFmtId="2" fontId="21" fillId="0" borderId="34" xfId="0" applyNumberFormat="1" applyFont="1" applyBorder="1"/>
    <xf numFmtId="2" fontId="21" fillId="0" borderId="16" xfId="0" applyNumberFormat="1" applyFont="1" applyBorder="1"/>
    <xf numFmtId="2" fontId="22" fillId="0" borderId="55" xfId="0" applyNumberFormat="1" applyFont="1" applyBorder="1" applyAlignment="1">
      <alignment horizontal="center"/>
    </xf>
    <xf numFmtId="2" fontId="22" fillId="0" borderId="44" xfId="0" applyNumberFormat="1" applyFont="1" applyBorder="1" applyAlignment="1">
      <alignment horizontal="center"/>
    </xf>
    <xf numFmtId="1" fontId="22" fillId="0" borderId="47" xfId="0" applyNumberFormat="1" applyFont="1" applyBorder="1" applyAlignment="1">
      <alignment horizontal="center"/>
    </xf>
    <xf numFmtId="2" fontId="21" fillId="0" borderId="44" xfId="0" applyNumberFormat="1" applyFon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9" xfId="0" applyBorder="1" applyAlignment="1">
      <alignment horizontal="center" wrapText="1"/>
    </xf>
    <xf numFmtId="165" fontId="0" fillId="0" borderId="10" xfId="0" applyNumberFormat="1" applyBorder="1"/>
    <xf numFmtId="0" fontId="0" fillId="0" borderId="55" xfId="0" applyBorder="1"/>
    <xf numFmtId="0" fontId="0" fillId="0" borderId="44" xfId="0" applyBorder="1"/>
    <xf numFmtId="0" fontId="0" fillId="14" borderId="10" xfId="0" applyFill="1" applyBorder="1" applyAlignment="1">
      <alignment wrapText="1"/>
    </xf>
    <xf numFmtId="0" fontId="0" fillId="7" borderId="0" xfId="0" applyFill="1"/>
    <xf numFmtId="0" fontId="0" fillId="7" borderId="0" xfId="0" applyFill="1" applyAlignment="1">
      <alignment horizontal="right"/>
    </xf>
    <xf numFmtId="0" fontId="18" fillId="7" borderId="0" xfId="0" applyFont="1" applyFill="1" applyAlignment="1">
      <alignment horizontal="right"/>
    </xf>
    <xf numFmtId="165" fontId="18" fillId="7" borderId="0" xfId="0" applyNumberFormat="1" applyFont="1" applyFill="1"/>
    <xf numFmtId="0" fontId="18" fillId="7" borderId="0" xfId="0" applyFont="1" applyFill="1"/>
    <xf numFmtId="0" fontId="0" fillId="14" borderId="2" xfId="0" applyFill="1" applyBorder="1" applyAlignment="1">
      <alignment horizontal="right"/>
    </xf>
    <xf numFmtId="0" fontId="4" fillId="0" borderId="41" xfId="0" applyFont="1" applyBorder="1" applyAlignment="1">
      <alignment horizontal="right" wrapText="1"/>
    </xf>
    <xf numFmtId="0" fontId="1" fillId="0" borderId="23" xfId="0" applyFont="1" applyBorder="1" applyAlignment="1">
      <alignment horizontal="right"/>
    </xf>
    <xf numFmtId="0" fontId="4" fillId="0" borderId="31" xfId="0" applyFont="1" applyBorder="1" applyAlignment="1">
      <alignment horizontal="right" wrapText="1"/>
    </xf>
    <xf numFmtId="165" fontId="1" fillId="0" borderId="32" xfId="0" applyNumberFormat="1" applyFont="1" applyBorder="1" applyAlignment="1">
      <alignment horizontal="right"/>
    </xf>
    <xf numFmtId="165" fontId="0" fillId="14" borderId="2" xfId="0" applyNumberFormat="1" applyFill="1" applyBorder="1"/>
    <xf numFmtId="0" fontId="0" fillId="0" borderId="43" xfId="0" applyBorder="1" applyAlignment="1">
      <alignment horizontal="right" wrapText="1"/>
    </xf>
    <xf numFmtId="0" fontId="0" fillId="0" borderId="44" xfId="0" applyBorder="1" applyAlignment="1">
      <alignment horizontal="right"/>
    </xf>
    <xf numFmtId="2" fontId="0" fillId="0" borderId="44" xfId="0" applyNumberFormat="1" applyBorder="1" applyAlignment="1">
      <alignment horizontal="right"/>
    </xf>
    <xf numFmtId="166" fontId="23" fillId="2" borderId="32" xfId="0" applyNumberFormat="1" applyFont="1" applyFill="1" applyBorder="1" applyAlignment="1">
      <alignment horizontal="right"/>
    </xf>
    <xf numFmtId="0" fontId="4" fillId="0" borderId="43" xfId="0" applyFont="1" applyBorder="1" applyAlignment="1">
      <alignment horizontal="center" wrapText="1"/>
    </xf>
    <xf numFmtId="0" fontId="4" fillId="0" borderId="44" xfId="0" applyFont="1" applyBorder="1" applyAlignment="1">
      <alignment horizontal="right"/>
    </xf>
    <xf numFmtId="0" fontId="4" fillId="0" borderId="53" xfId="0" applyFont="1" applyBorder="1" applyAlignment="1">
      <alignment horizontal="right"/>
    </xf>
    <xf numFmtId="2" fontId="0" fillId="0" borderId="55" xfId="0" applyNumberFormat="1" applyBorder="1"/>
    <xf numFmtId="0" fontId="5" fillId="0" borderId="4" xfId="0" applyFont="1" applyBorder="1" applyAlignment="1">
      <alignment horizontal="center"/>
    </xf>
    <xf numFmtId="3" fontId="0" fillId="13" borderId="0" xfId="0" applyNumberFormat="1" applyFill="1" applyAlignment="1">
      <alignment horizontal="right"/>
    </xf>
    <xf numFmtId="0" fontId="0" fillId="10" borderId="0" xfId="0" applyFill="1"/>
    <xf numFmtId="0" fontId="0" fillId="0" borderId="56" xfId="0" applyBorder="1"/>
    <xf numFmtId="3" fontId="0" fillId="7" borderId="0" xfId="0" applyNumberFormat="1" applyFill="1" applyAlignment="1">
      <alignment horizontal="right"/>
    </xf>
    <xf numFmtId="0" fontId="5" fillId="0" borderId="47" xfId="0" applyFont="1" applyBorder="1" applyAlignment="1">
      <alignment horizontal="center"/>
    </xf>
    <xf numFmtId="3" fontId="0" fillId="7" borderId="44" xfId="0" applyNumberFormat="1" applyFill="1" applyBorder="1" applyAlignment="1">
      <alignment horizontal="right"/>
    </xf>
    <xf numFmtId="3" fontId="0" fillId="13" borderId="44" xfId="0" applyNumberFormat="1" applyFill="1" applyBorder="1" applyAlignment="1">
      <alignment horizontal="right"/>
    </xf>
    <xf numFmtId="0" fontId="0" fillId="10" borderId="44" xfId="0" applyFill="1" applyBorder="1"/>
    <xf numFmtId="0" fontId="5" fillId="0" borderId="32" xfId="0" applyFont="1" applyBorder="1" applyAlignment="1">
      <alignment horizontal="center"/>
    </xf>
    <xf numFmtId="3" fontId="0" fillId="15" borderId="44" xfId="0" applyNumberFormat="1" applyFill="1" applyBorder="1" applyAlignment="1">
      <alignment horizontal="right"/>
    </xf>
    <xf numFmtId="0" fontId="5" fillId="16" borderId="10" xfId="0" applyFont="1" applyFill="1" applyBorder="1"/>
    <xf numFmtId="0" fontId="5" fillId="17" borderId="10" xfId="0" applyFont="1" applyFill="1" applyBorder="1"/>
    <xf numFmtId="0" fontId="0" fillId="17" borderId="5" xfId="0" applyFill="1" applyBorder="1" applyAlignment="1">
      <alignment wrapText="1"/>
    </xf>
    <xf numFmtId="4" fontId="11" fillId="17" borderId="38" xfId="0" applyNumberFormat="1" applyFont="1" applyFill="1" applyBorder="1"/>
    <xf numFmtId="0" fontId="0" fillId="17" borderId="27" xfId="0" applyFill="1" applyBorder="1"/>
    <xf numFmtId="0" fontId="0" fillId="17" borderId="11" xfId="0" applyFill="1" applyBorder="1"/>
    <xf numFmtId="0" fontId="0" fillId="0" borderId="43" xfId="0" applyBorder="1" applyAlignment="1">
      <alignment horizontal="center"/>
    </xf>
    <xf numFmtId="0" fontId="4" fillId="0" borderId="57" xfId="0" applyFont="1" applyBorder="1" applyAlignment="1">
      <alignment horizontal="right"/>
    </xf>
    <xf numFmtId="0" fontId="4" fillId="0" borderId="58" xfId="0" applyFont="1" applyBorder="1" applyAlignment="1">
      <alignment horizontal="right"/>
    </xf>
    <xf numFmtId="0" fontId="4" fillId="0" borderId="59" xfId="0" applyFont="1" applyBorder="1" applyAlignment="1">
      <alignment horizontal="right"/>
    </xf>
    <xf numFmtId="2" fontId="0" fillId="0" borderId="14" xfId="0" applyNumberFormat="1" applyBorder="1"/>
    <xf numFmtId="0" fontId="0" fillId="0" borderId="60" xfId="0" applyBorder="1"/>
    <xf numFmtId="0" fontId="0" fillId="0" borderId="47" xfId="0" applyBorder="1"/>
    <xf numFmtId="0" fontId="0" fillId="0" borderId="4" xfId="0" applyBorder="1"/>
    <xf numFmtId="0" fontId="5" fillId="0" borderId="57" xfId="0" applyFont="1" applyBorder="1" applyAlignment="1">
      <alignment horizontal="center"/>
    </xf>
    <xf numFmtId="3" fontId="4" fillId="0" borderId="58" xfId="0" applyNumberFormat="1" applyFont="1" applyBorder="1" applyAlignment="1">
      <alignment horizontal="right"/>
    </xf>
    <xf numFmtId="0" fontId="0" fillId="0" borderId="58" xfId="0" applyBorder="1"/>
    <xf numFmtId="3" fontId="4" fillId="0" borderId="59" xfId="0" applyNumberFormat="1" applyFont="1" applyBorder="1" applyAlignment="1">
      <alignment horizontal="right"/>
    </xf>
    <xf numFmtId="3" fontId="0" fillId="13" borderId="2" xfId="0" applyNumberFormat="1" applyFill="1" applyBorder="1" applyAlignment="1">
      <alignment horizontal="right"/>
    </xf>
    <xf numFmtId="3" fontId="0" fillId="15" borderId="2" xfId="0" applyNumberFormat="1" applyFill="1" applyBorder="1" applyAlignment="1">
      <alignment horizontal="right"/>
    </xf>
    <xf numFmtId="3" fontId="0" fillId="3" borderId="29" xfId="0" applyNumberFormat="1" applyFill="1" applyBorder="1" applyAlignment="1">
      <alignment horizontal="right"/>
    </xf>
    <xf numFmtId="0" fontId="0" fillId="10" borderId="11" xfId="0" applyFill="1" applyBorder="1"/>
    <xf numFmtId="3" fontId="0" fillId="0" borderId="13" xfId="0" applyNumberFormat="1" applyBorder="1" applyAlignment="1">
      <alignment horizontal="right"/>
    </xf>
    <xf numFmtId="4" fontId="21" fillId="19" borderId="0" xfId="0" applyNumberFormat="1" applyFont="1" applyFill="1"/>
    <xf numFmtId="4" fontId="21" fillId="6" borderId="0" xfId="0" applyNumberFormat="1" applyFont="1" applyFill="1"/>
    <xf numFmtId="3" fontId="4" fillId="0" borderId="0" xfId="0" applyNumberFormat="1" applyFont="1" applyAlignment="1">
      <alignment horizontal="right"/>
    </xf>
    <xf numFmtId="0" fontId="21" fillId="20" borderId="38" xfId="0" applyFont="1" applyFill="1" applyBorder="1" applyAlignment="1">
      <alignment horizontal="center" textRotation="90"/>
    </xf>
    <xf numFmtId="0" fontId="0" fillId="21" borderId="61" xfId="0" applyFill="1" applyBorder="1" applyAlignment="1">
      <alignment horizontal="center" vertical="center" textRotation="90" wrapText="1"/>
    </xf>
    <xf numFmtId="0" fontId="12" fillId="0" borderId="61" xfId="0" applyFont="1" applyBorder="1" applyAlignment="1">
      <alignment horizontal="center" vertical="center"/>
    </xf>
    <xf numFmtId="0" fontId="0" fillId="19" borderId="61" xfId="0" applyFill="1" applyBorder="1" applyAlignment="1">
      <alignment horizontal="center" vertical="center" textRotation="90" wrapText="1"/>
    </xf>
    <xf numFmtId="0" fontId="21" fillId="14" borderId="38" xfId="0" applyFont="1" applyFill="1" applyBorder="1" applyAlignment="1">
      <alignment horizontal="center" vertical="center" textRotation="90" wrapText="1"/>
    </xf>
    <xf numFmtId="0" fontId="21" fillId="22" borderId="38" xfId="0" applyFont="1" applyFill="1" applyBorder="1" applyAlignment="1">
      <alignment horizontal="center" vertical="center" textRotation="90" wrapText="1"/>
    </xf>
    <xf numFmtId="0" fontId="21" fillId="6" borderId="3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21" fillId="14" borderId="38" xfId="0" applyFont="1" applyFill="1" applyBorder="1" applyAlignment="1">
      <alignment horizontal="center" textRotation="90" wrapText="1"/>
    </xf>
    <xf numFmtId="0" fontId="0" fillId="18" borderId="0" xfId="0" applyFill="1"/>
    <xf numFmtId="0" fontId="21" fillId="21" borderId="38" xfId="0" applyFont="1" applyFill="1" applyBorder="1" applyAlignment="1">
      <alignment horizontal="center" textRotation="90"/>
    </xf>
    <xf numFmtId="0" fontId="21" fillId="24" borderId="38" xfId="0" applyFont="1" applyFill="1" applyBorder="1" applyAlignment="1">
      <alignment horizontal="center" textRotation="90"/>
    </xf>
    <xf numFmtId="0" fontId="21" fillId="19" borderId="38" xfId="0" applyFont="1" applyFill="1" applyBorder="1" applyAlignment="1">
      <alignment horizontal="center" textRotation="90" wrapText="1"/>
    </xf>
    <xf numFmtId="0" fontId="21" fillId="22" borderId="38" xfId="0" applyFont="1" applyFill="1" applyBorder="1" applyAlignment="1">
      <alignment horizontal="center" textRotation="90"/>
    </xf>
    <xf numFmtId="0" fontId="21" fillId="6" borderId="38" xfId="0" applyFont="1" applyFill="1" applyBorder="1" applyAlignment="1">
      <alignment horizontal="center" textRotation="90" wrapText="1"/>
    </xf>
    <xf numFmtId="0" fontId="21" fillId="25" borderId="38" xfId="0" applyFont="1" applyFill="1" applyBorder="1" applyAlignment="1">
      <alignment horizontal="center" textRotation="90"/>
    </xf>
    <xf numFmtId="0" fontId="21" fillId="22" borderId="38" xfId="0" applyFont="1" applyFill="1" applyBorder="1" applyAlignment="1">
      <alignment horizontal="center" textRotation="90" wrapText="1"/>
    </xf>
    <xf numFmtId="3" fontId="21" fillId="21" borderId="38" xfId="0" applyNumberFormat="1" applyFont="1" applyFill="1" applyBorder="1" applyAlignment="1">
      <alignment horizontal="center" textRotation="90"/>
    </xf>
    <xf numFmtId="0" fontId="21" fillId="19" borderId="38" xfId="0" applyFont="1" applyFill="1" applyBorder="1" applyAlignment="1">
      <alignment horizontal="center" textRotation="90"/>
    </xf>
    <xf numFmtId="0" fontId="21" fillId="6" borderId="38" xfId="0" applyFont="1" applyFill="1" applyBorder="1" applyAlignment="1">
      <alignment horizontal="center" textRotation="90"/>
    </xf>
    <xf numFmtId="4" fontId="17" fillId="26" borderId="0" xfId="0" applyNumberFormat="1" applyFont="1" applyFill="1"/>
    <xf numFmtId="2" fontId="0" fillId="19" borderId="0" xfId="0" applyNumberFormat="1" applyFill="1"/>
    <xf numFmtId="2" fontId="17" fillId="18" borderId="0" xfId="0" applyNumberFormat="1" applyFont="1" applyFill="1"/>
    <xf numFmtId="0" fontId="0" fillId="0" borderId="0" xfId="0" applyAlignment="1">
      <alignment vertical="center"/>
    </xf>
    <xf numFmtId="0" fontId="0" fillId="28" borderId="37" xfId="0" applyFill="1" applyBorder="1" applyAlignment="1">
      <alignment horizontal="center" vertical="center" textRotation="90" wrapText="1"/>
    </xf>
    <xf numFmtId="0" fontId="0" fillId="29" borderId="38" xfId="0" applyFill="1" applyBorder="1" applyAlignment="1">
      <alignment horizontal="center" vertical="center" textRotation="90" wrapText="1"/>
    </xf>
    <xf numFmtId="0" fontId="0" fillId="24" borderId="38" xfId="0" applyFill="1" applyBorder="1" applyAlignment="1">
      <alignment horizontal="center" vertical="center" textRotation="90"/>
    </xf>
    <xf numFmtId="0" fontId="0" fillId="18" borderId="38" xfId="0" applyFill="1" applyBorder="1" applyAlignment="1">
      <alignment horizontal="center" vertical="center" textRotation="90" wrapText="1"/>
    </xf>
    <xf numFmtId="0" fontId="0" fillId="27" borderId="38" xfId="0" applyFill="1" applyBorder="1" applyAlignment="1">
      <alignment horizontal="center" vertical="center" textRotation="90" wrapText="1"/>
    </xf>
    <xf numFmtId="0" fontId="0" fillId="28" borderId="38" xfId="0" applyFill="1" applyBorder="1" applyAlignment="1">
      <alignment horizontal="center" vertical="center" textRotation="90"/>
    </xf>
    <xf numFmtId="0" fontId="0" fillId="29" borderId="38" xfId="0" applyFill="1" applyBorder="1" applyAlignment="1">
      <alignment horizontal="center" vertical="center" textRotation="90"/>
    </xf>
    <xf numFmtId="0" fontId="0" fillId="30" borderId="38" xfId="0" applyFill="1" applyBorder="1" applyAlignment="1">
      <alignment horizontal="center" vertical="center" textRotation="90"/>
    </xf>
    <xf numFmtId="0" fontId="0" fillId="31" borderId="38" xfId="0" applyFill="1" applyBorder="1" applyAlignment="1">
      <alignment horizontal="center" vertical="center" textRotation="90"/>
    </xf>
    <xf numFmtId="0" fontId="0" fillId="15" borderId="38" xfId="0" applyFill="1" applyBorder="1" applyAlignment="1">
      <alignment horizontal="center" vertical="center" textRotation="90" wrapText="1"/>
    </xf>
    <xf numFmtId="0" fontId="0" fillId="32" borderId="38" xfId="0" applyFill="1" applyBorder="1" applyAlignment="1">
      <alignment horizontal="center" vertical="center" textRotation="90"/>
    </xf>
    <xf numFmtId="0" fontId="0" fillId="22" borderId="38" xfId="0" applyFill="1" applyBorder="1" applyAlignment="1">
      <alignment horizontal="center" vertical="center" textRotation="90"/>
    </xf>
    <xf numFmtId="0" fontId="0" fillId="33" borderId="38" xfId="0" applyFill="1" applyBorder="1" applyAlignment="1">
      <alignment horizontal="center" vertical="center" textRotation="90" wrapText="1"/>
    </xf>
    <xf numFmtId="0" fontId="0" fillId="34" borderId="38" xfId="0" applyFill="1" applyBorder="1" applyAlignment="1">
      <alignment horizontal="center" vertical="center" textRotation="90" wrapText="1"/>
    </xf>
    <xf numFmtId="0" fontId="0" fillId="19" borderId="38" xfId="0" applyFill="1" applyBorder="1" applyAlignment="1">
      <alignment horizontal="center" vertical="center" textRotation="90" wrapText="1"/>
    </xf>
    <xf numFmtId="0" fontId="0" fillId="20" borderId="38" xfId="0" applyFill="1" applyBorder="1" applyAlignment="1">
      <alignment horizontal="center" vertical="center" textRotation="90" wrapText="1"/>
    </xf>
    <xf numFmtId="0" fontId="0" fillId="0" borderId="38" xfId="0" applyBorder="1"/>
    <xf numFmtId="0" fontId="0" fillId="23" borderId="38" xfId="0" applyFill="1" applyBorder="1" applyAlignment="1">
      <alignment horizontal="center" vertical="center" textRotation="90" wrapText="1"/>
    </xf>
    <xf numFmtId="0" fontId="26" fillId="0" borderId="0" xfId="0" applyFont="1"/>
    <xf numFmtId="0" fontId="0" fillId="28" borderId="37" xfId="0" applyFill="1" applyBorder="1"/>
    <xf numFmtId="0" fontId="0" fillId="29" borderId="38" xfId="0" applyFill="1" applyBorder="1"/>
    <xf numFmtId="0" fontId="0" fillId="27" borderId="62" xfId="0" applyFill="1" applyBorder="1" applyAlignment="1">
      <alignment horizontal="center" vertical="center" textRotation="90" wrapText="1"/>
    </xf>
    <xf numFmtId="0" fontId="0" fillId="28" borderId="3" xfId="0" applyFill="1" applyBorder="1" applyAlignment="1">
      <alignment horizontal="center" vertical="center" textRotation="90"/>
    </xf>
    <xf numFmtId="0" fontId="0" fillId="29" borderId="3" xfId="0" applyFill="1" applyBorder="1" applyAlignment="1">
      <alignment horizontal="center" vertical="center" textRotation="90"/>
    </xf>
    <xf numFmtId="0" fontId="0" fillId="30" borderId="3" xfId="0" applyFill="1" applyBorder="1" applyAlignment="1">
      <alignment horizontal="center" vertical="center" textRotation="90"/>
    </xf>
    <xf numFmtId="0" fontId="0" fillId="32" borderId="3" xfId="0" applyFill="1" applyBorder="1" applyAlignment="1">
      <alignment horizontal="center" vertical="center" textRotation="90"/>
    </xf>
    <xf numFmtId="0" fontId="0" fillId="35" borderId="38" xfId="0" applyFill="1" applyBorder="1" applyAlignment="1">
      <alignment horizontal="center" vertical="center" textRotation="90" wrapText="1"/>
    </xf>
    <xf numFmtId="0" fontId="0" fillId="21" borderId="0" xfId="0" applyFill="1"/>
    <xf numFmtId="0" fontId="0" fillId="28" borderId="0" xfId="0" applyFill="1"/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 vertical="center" textRotation="90" wrapText="1"/>
    </xf>
    <xf numFmtId="0" fontId="0" fillId="24" borderId="0" xfId="0" applyFill="1" applyAlignment="1">
      <alignment wrapText="1"/>
    </xf>
    <xf numFmtId="0" fontId="0" fillId="25" borderId="0" xfId="0" applyFill="1" applyAlignment="1">
      <alignment wrapText="1"/>
    </xf>
    <xf numFmtId="0" fontId="0" fillId="30" borderId="0" xfId="0" applyFill="1" applyAlignment="1">
      <alignment horizontal="center" vertical="center" textRotation="90" wrapText="1"/>
    </xf>
    <xf numFmtId="0" fontId="0" fillId="23" borderId="0" xfId="0" applyFill="1" applyAlignment="1">
      <alignment horizontal="center" vertical="center" textRotation="90" wrapText="1"/>
    </xf>
    <xf numFmtId="0" fontId="0" fillId="9" borderId="0" xfId="0" applyFill="1" applyAlignment="1">
      <alignment horizontal="center" vertical="center" textRotation="90" wrapText="1"/>
    </xf>
    <xf numFmtId="0" fontId="0" fillId="22" borderId="0" xfId="0" applyFill="1" applyAlignment="1">
      <alignment wrapText="1"/>
    </xf>
    <xf numFmtId="2" fontId="17" fillId="0" borderId="0" xfId="0" applyNumberFormat="1" applyFont="1"/>
    <xf numFmtId="2" fontId="17" fillId="20" borderId="0" xfId="0" applyNumberFormat="1" applyFont="1" applyFill="1"/>
    <xf numFmtId="2" fontId="17" fillId="19" borderId="0" xfId="0" applyNumberFormat="1" applyFont="1" applyFill="1"/>
    <xf numFmtId="0" fontId="0" fillId="17" borderId="0" xfId="0" applyFill="1" applyAlignment="1">
      <alignment wrapText="1"/>
    </xf>
    <xf numFmtId="0" fontId="0" fillId="35" borderId="0" xfId="0" applyFill="1" applyAlignment="1">
      <alignment wrapText="1"/>
    </xf>
    <xf numFmtId="2" fontId="0" fillId="35" borderId="0" xfId="0" applyNumberFormat="1" applyFill="1" applyAlignment="1">
      <alignment wrapText="1"/>
    </xf>
    <xf numFmtId="0" fontId="0" fillId="24" borderId="0" xfId="0" applyFill="1"/>
    <xf numFmtId="0" fontId="0" fillId="25" borderId="0" xfId="0" applyFill="1"/>
    <xf numFmtId="0" fontId="0" fillId="30" borderId="0" xfId="0" applyFill="1"/>
    <xf numFmtId="0" fontId="0" fillId="23" borderId="0" xfId="0" applyFill="1"/>
    <xf numFmtId="0" fontId="0" fillId="9" borderId="0" xfId="0" applyFill="1"/>
    <xf numFmtId="0" fontId="0" fillId="22" borderId="0" xfId="0" applyFill="1"/>
    <xf numFmtId="0" fontId="24" fillId="0" borderId="0" xfId="0" applyFont="1"/>
    <xf numFmtId="0" fontId="0" fillId="36" borderId="0" xfId="0" applyFill="1"/>
    <xf numFmtId="0" fontId="0" fillId="35" borderId="0" xfId="0" applyFill="1"/>
    <xf numFmtId="0" fontId="21" fillId="14" borderId="61" xfId="0" applyFont="1" applyFill="1" applyBorder="1" applyAlignment="1">
      <alignment horizontal="center" vertical="center" textRotation="90" wrapText="1"/>
    </xf>
    <xf numFmtId="0" fontId="21" fillId="14" borderId="0" xfId="0" applyFont="1" applyFill="1" applyAlignment="1">
      <alignment horizontal="center" textRotation="90" wrapText="1"/>
    </xf>
    <xf numFmtId="0" fontId="0" fillId="21" borderId="0" xfId="0" applyFill="1" applyAlignment="1">
      <alignment horizontal="center" vertical="center" textRotation="90" wrapText="1"/>
    </xf>
    <xf numFmtId="0" fontId="21" fillId="21" borderId="0" xfId="0" applyFont="1" applyFill="1" applyAlignment="1">
      <alignment horizontal="center" textRotation="90"/>
    </xf>
    <xf numFmtId="0" fontId="0" fillId="16" borderId="23" xfId="0" applyFill="1" applyBorder="1"/>
    <xf numFmtId="0" fontId="0" fillId="16" borderId="32" xfId="0" applyFill="1" applyBorder="1"/>
    <xf numFmtId="0" fontId="0" fillId="0" borderId="57" xfId="0" applyBorder="1"/>
    <xf numFmtId="0" fontId="0" fillId="0" borderId="59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21" borderId="2" xfId="0" applyFill="1" applyBorder="1"/>
    <xf numFmtId="0" fontId="0" fillId="28" borderId="2" xfId="0" applyFill="1" applyBorder="1"/>
    <xf numFmtId="0" fontId="0" fillId="27" borderId="3" xfId="0" applyFill="1" applyBorder="1" applyAlignment="1">
      <alignment horizontal="center" vertical="center" textRotation="90" wrapText="1"/>
    </xf>
    <xf numFmtId="0" fontId="16" fillId="35" borderId="0" xfId="0" applyFont="1" applyFill="1" applyAlignment="1">
      <alignment wrapText="1"/>
    </xf>
    <xf numFmtId="166" fontId="3" fillId="2" borderId="42" xfId="0" applyNumberFormat="1" applyFont="1" applyFill="1" applyBorder="1" applyAlignment="1">
      <alignment horizontal="right"/>
    </xf>
    <xf numFmtId="0" fontId="0" fillId="29" borderId="54" xfId="0" applyFill="1" applyBorder="1"/>
    <xf numFmtId="0" fontId="0" fillId="28" borderId="37" xfId="0" applyFill="1" applyBorder="1" applyAlignment="1">
      <alignment horizontal="center" vertical="center" textRotation="90"/>
    </xf>
    <xf numFmtId="0" fontId="0" fillId="28" borderId="39" xfId="0" applyFill="1" applyBorder="1" applyAlignment="1">
      <alignment horizontal="center" vertical="center" textRotation="90"/>
    </xf>
    <xf numFmtId="165" fontId="26" fillId="0" borderId="0" xfId="0" applyNumberFormat="1" applyFont="1"/>
    <xf numFmtId="4" fontId="0" fillId="35" borderId="0" xfId="0" applyNumberFormat="1" applyFill="1"/>
    <xf numFmtId="165" fontId="26" fillId="35" borderId="0" xfId="0" applyNumberFormat="1" applyFont="1" applyFill="1"/>
    <xf numFmtId="0" fontId="0" fillId="34" borderId="0" xfId="0" applyFill="1"/>
    <xf numFmtId="4" fontId="0" fillId="34" borderId="0" xfId="0" applyNumberFormat="1" applyFill="1"/>
    <xf numFmtId="165" fontId="26" fillId="34" borderId="0" xfId="0" applyNumberFormat="1" applyFont="1" applyFill="1"/>
    <xf numFmtId="0" fontId="0" fillId="14" borderId="0" xfId="0" applyFill="1"/>
    <xf numFmtId="4" fontId="0" fillId="14" borderId="0" xfId="0" applyNumberFormat="1" applyFill="1"/>
    <xf numFmtId="165" fontId="26" fillId="14" borderId="0" xfId="0" applyNumberFormat="1" applyFont="1" applyFill="1"/>
    <xf numFmtId="0" fontId="21" fillId="14" borderId="38" xfId="0" applyFont="1" applyFill="1" applyBorder="1" applyAlignment="1">
      <alignment horizontal="center" textRotation="90"/>
    </xf>
    <xf numFmtId="4" fontId="21" fillId="14" borderId="0" xfId="0" applyNumberFormat="1" applyFont="1" applyFill="1"/>
    <xf numFmtId="0" fontId="21" fillId="9" borderId="38" xfId="0" applyFont="1" applyFill="1" applyBorder="1" applyAlignment="1">
      <alignment horizontal="center" textRotation="90"/>
    </xf>
    <xf numFmtId="4" fontId="21" fillId="9" borderId="0" xfId="0" applyNumberFormat="1" applyFont="1" applyFill="1"/>
    <xf numFmtId="4" fontId="0" fillId="9" borderId="0" xfId="0" applyNumberFormat="1" applyFill="1"/>
    <xf numFmtId="165" fontId="26" fillId="9" borderId="0" xfId="0" applyNumberFormat="1" applyFont="1" applyFill="1"/>
    <xf numFmtId="2" fontId="0" fillId="9" borderId="0" xfId="0" applyNumberFormat="1" applyFill="1"/>
    <xf numFmtId="0" fontId="0" fillId="0" borderId="3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41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0" xfId="0" applyBorder="1" applyAlignment="1">
      <alignment horizontal="center"/>
    </xf>
    <xf numFmtId="0" fontId="24" fillId="20" borderId="12" xfId="0" applyFont="1" applyFill="1" applyBorder="1" applyAlignment="1">
      <alignment wrapText="1"/>
    </xf>
    <xf numFmtId="0" fontId="24" fillId="20" borderId="13" xfId="0" applyFont="1" applyFill="1" applyBorder="1" applyAlignment="1">
      <alignment wrapText="1"/>
    </xf>
    <xf numFmtId="0" fontId="24" fillId="9" borderId="12" xfId="0" applyFont="1" applyFill="1" applyBorder="1" applyAlignment="1">
      <alignment wrapText="1"/>
    </xf>
    <xf numFmtId="0" fontId="24" fillId="9" borderId="13" xfId="0" applyFont="1" applyFill="1" applyBorder="1" applyAlignment="1">
      <alignment wrapText="1"/>
    </xf>
    <xf numFmtId="0" fontId="24" fillId="18" borderId="10" xfId="0" applyFont="1" applyFill="1" applyBorder="1" applyAlignment="1">
      <alignment wrapText="1"/>
    </xf>
    <xf numFmtId="0" fontId="24" fillId="18" borderId="2" xfId="0" applyFont="1" applyFill="1" applyBorder="1"/>
    <xf numFmtId="0" fontId="24" fillId="18" borderId="2" xfId="0" applyFont="1" applyFill="1" applyBorder="1" applyAlignment="1">
      <alignment wrapText="1"/>
    </xf>
    <xf numFmtId="0" fontId="24" fillId="34" borderId="12" xfId="0" applyFont="1" applyFill="1" applyBorder="1" applyAlignment="1">
      <alignment wrapText="1"/>
    </xf>
    <xf numFmtId="0" fontId="24" fillId="34" borderId="24" xfId="0" applyFont="1" applyFill="1" applyBorder="1" applyAlignment="1">
      <alignment wrapText="1"/>
    </xf>
    <xf numFmtId="0" fontId="24" fillId="34" borderId="13" xfId="0" applyFont="1" applyFill="1" applyBorder="1" applyAlignment="1">
      <alignment wrapText="1"/>
    </xf>
    <xf numFmtId="0" fontId="24" fillId="14" borderId="12" xfId="0" applyFont="1" applyFill="1" applyBorder="1" applyAlignment="1">
      <alignment wrapText="1"/>
    </xf>
    <xf numFmtId="0" fontId="24" fillId="14" borderId="24" xfId="0" applyFont="1" applyFill="1" applyBorder="1" applyAlignment="1">
      <alignment wrapText="1"/>
    </xf>
    <xf numFmtId="0" fontId="24" fillId="14" borderId="13" xfId="0" applyFont="1" applyFill="1" applyBorder="1" applyAlignment="1">
      <alignment wrapText="1"/>
    </xf>
    <xf numFmtId="0" fontId="24" fillId="9" borderId="24" xfId="0" applyFont="1" applyFill="1" applyBorder="1" applyAlignment="1">
      <alignment wrapText="1"/>
    </xf>
    <xf numFmtId="0" fontId="24" fillId="18" borderId="9" xfId="0" applyFont="1" applyFill="1" applyBorder="1" applyAlignment="1">
      <alignment wrapText="1"/>
    </xf>
    <xf numFmtId="0" fontId="24" fillId="18" borderId="41" xfId="0" applyFont="1" applyFill="1" applyBorder="1" applyAlignment="1">
      <alignment wrapText="1"/>
    </xf>
    <xf numFmtId="0" fontId="24" fillId="18" borderId="29" xfId="0" applyFont="1" applyFill="1" applyBorder="1"/>
    <xf numFmtId="0" fontId="24" fillId="18" borderId="23" xfId="0" applyFont="1" applyFill="1" applyBorder="1" applyAlignment="1">
      <alignment wrapText="1"/>
    </xf>
    <xf numFmtId="0" fontId="24" fillId="20" borderId="24" xfId="0" applyFont="1" applyFill="1" applyBorder="1" applyAlignment="1">
      <alignment wrapText="1"/>
    </xf>
    <xf numFmtId="0" fontId="24" fillId="35" borderId="12" xfId="0" applyFont="1" applyFill="1" applyBorder="1" applyAlignment="1">
      <alignment wrapText="1"/>
    </xf>
    <xf numFmtId="0" fontId="24" fillId="35" borderId="24" xfId="0" applyFont="1" applyFill="1" applyBorder="1" applyAlignment="1">
      <alignment wrapText="1"/>
    </xf>
    <xf numFmtId="0" fontId="24" fillId="35" borderId="13" xfId="0" applyFont="1" applyFill="1" applyBorder="1" applyAlignment="1">
      <alignment wrapText="1"/>
    </xf>
  </cellXfs>
  <cellStyles count="7">
    <cellStyle name="Normal" xfId="6" xr:uid="{E64A42C7-6BE5-4F57-A98B-10558F7E116D}"/>
    <cellStyle name="Normální" xfId="0" builtinId="0"/>
    <cellStyle name="normální 2" xfId="1" xr:uid="{00000000-0005-0000-0000-000001000000}"/>
    <cellStyle name="Normální 42" xfId="2" xr:uid="{00000000-0005-0000-0000-000002000000}"/>
    <cellStyle name="Normální 43" xfId="3" xr:uid="{00000000-0005-0000-0000-000003000000}"/>
    <cellStyle name="Normální 44" xfId="4" xr:uid="{00000000-0005-0000-0000-000004000000}"/>
    <cellStyle name="Normální 45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apek/Masarykovo%20n&#225;dra&#382;&#237;/2022_PDPS_kabelovod/09_vv/21_11_2022_vypo&#269;et_kabelovo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Šachty"/>
      <sheetName val="Mezišachetní úsek"/>
      <sheetName val="02_Bet_šachty"/>
      <sheetName val="02_Bet_meziš"/>
      <sheetName val="Seznam příloh"/>
    </sheetNames>
    <sheetDataSet>
      <sheetData sheetId="0">
        <row r="17">
          <cell r="F17" t="str">
            <v>Šachta</v>
          </cell>
          <cell r="G17" t="str">
            <v>Betonová 
šachta</v>
          </cell>
          <cell r="I17" t="str">
            <v>Plasto
vé 
šachta</v>
          </cell>
          <cell r="J17" t="str">
            <v>Šířka</v>
          </cell>
          <cell r="K17" t="str">
            <v>Délka</v>
          </cell>
          <cell r="L17" t="str">
            <v>Výška</v>
          </cell>
          <cell r="N17" t="str">
            <v>Výška 
komínků</v>
          </cell>
          <cell r="O17" t="str">
            <v>Objem
šachty
bez krčku</v>
          </cell>
          <cell r="Q17" t="str">
            <v>Poklop</v>
          </cell>
          <cell r="S17" t="str">
            <v>počet
 poklopů</v>
          </cell>
          <cell r="W17" t="str">
            <v>IZOLACE ŠACHET</v>
          </cell>
          <cell r="Y17"/>
          <cell r="AB17" t="str">
            <v>OCHRANA ŠACHET</v>
          </cell>
        </row>
        <row r="18">
          <cell r="F18"/>
          <cell r="G18">
            <v>34</v>
          </cell>
          <cell r="I18">
            <v>19</v>
          </cell>
          <cell r="J18"/>
          <cell r="K18"/>
          <cell r="L18"/>
          <cell r="N18"/>
          <cell r="O18"/>
          <cell r="Q18"/>
          <cell r="R18"/>
          <cell r="S18"/>
          <cell r="T18"/>
          <cell r="W18" t="str">
            <v>ASF 
NÁTĚR</v>
          </cell>
          <cell r="Y18" t="str">
            <v>ASF. 
PÁSY 2x</v>
          </cell>
          <cell r="AB18" t="str">
            <v>Geotextilie</v>
          </cell>
          <cell r="AE18" t="str">
            <v>obetonování 
izolace
(šachet)</v>
          </cell>
        </row>
        <row r="19">
          <cell r="F19"/>
          <cell r="G19"/>
          <cell r="I19"/>
          <cell r="J19"/>
          <cell r="K19"/>
          <cell r="L19"/>
          <cell r="N19"/>
          <cell r="O19"/>
          <cell r="Q19"/>
          <cell r="R19"/>
          <cell r="S19"/>
          <cell r="T19"/>
          <cell r="W19"/>
          <cell r="Y19"/>
          <cell r="AB19"/>
          <cell r="AE19"/>
          <cell r="AO19"/>
        </row>
        <row r="22">
          <cell r="Q22" t="str">
            <v>Beton / Kompozit</v>
          </cell>
          <cell r="R22" t="str">
            <v>0,6x0,9</v>
          </cell>
          <cell r="S22">
            <v>1</v>
          </cell>
        </row>
      </sheetData>
      <sheetData sheetId="1">
        <row r="21">
          <cell r="B21" t="str">
            <v>Mezišachetní 
úseky</v>
          </cell>
        </row>
        <row r="22">
          <cell r="B22"/>
          <cell r="C22" t="str">
            <v>Délka</v>
          </cell>
        </row>
        <row r="23">
          <cell r="B23"/>
        </row>
        <row r="24">
          <cell r="Y24">
            <v>1.26</v>
          </cell>
          <cell r="AA24">
            <v>13.860000000000001</v>
          </cell>
        </row>
        <row r="25">
          <cell r="Y25">
            <v>9.2750000000000004</v>
          </cell>
          <cell r="AA25">
            <v>102.02500000000001</v>
          </cell>
        </row>
        <row r="26">
          <cell r="Y26">
            <v>0.15000000000000002</v>
          </cell>
          <cell r="AA26">
            <v>1.6500000000000001</v>
          </cell>
        </row>
        <row r="27">
          <cell r="Y27">
            <v>0.15000000000000002</v>
          </cell>
          <cell r="AA27">
            <v>1.6500000000000001</v>
          </cell>
        </row>
        <row r="28">
          <cell r="Y28">
            <v>5.2149999999999999</v>
          </cell>
          <cell r="AA28">
            <v>57.365000000000002</v>
          </cell>
        </row>
        <row r="29">
          <cell r="Y29">
            <v>0.15000000000000002</v>
          </cell>
          <cell r="AA29">
            <v>1.6500000000000001</v>
          </cell>
        </row>
        <row r="30">
          <cell r="Y30">
            <v>6.93</v>
          </cell>
          <cell r="AA30">
            <v>76.23</v>
          </cell>
        </row>
        <row r="31">
          <cell r="Y31">
            <v>0</v>
          </cell>
          <cell r="AA31">
            <v>0</v>
          </cell>
        </row>
        <row r="32">
          <cell r="Y32">
            <v>11.620000000000003</v>
          </cell>
          <cell r="AA32">
            <v>127.82000000000004</v>
          </cell>
        </row>
        <row r="33">
          <cell r="Y33">
            <v>0</v>
          </cell>
          <cell r="AA33">
            <v>0</v>
          </cell>
        </row>
        <row r="34">
          <cell r="Y34">
            <v>0.2</v>
          </cell>
          <cell r="AA34">
            <v>2.2000000000000002</v>
          </cell>
        </row>
        <row r="35">
          <cell r="Y35">
            <v>10.395000000000001</v>
          </cell>
          <cell r="AA35">
            <v>114.34500000000001</v>
          </cell>
        </row>
        <row r="36">
          <cell r="Y36">
            <v>0</v>
          </cell>
          <cell r="AA36">
            <v>0</v>
          </cell>
        </row>
        <row r="37">
          <cell r="Y37">
            <v>10.43</v>
          </cell>
          <cell r="AA37">
            <v>114.73</v>
          </cell>
        </row>
        <row r="38">
          <cell r="Y38">
            <v>0.2</v>
          </cell>
          <cell r="AA38">
            <v>2.2000000000000002</v>
          </cell>
        </row>
        <row r="39">
          <cell r="Y39">
            <v>10.08</v>
          </cell>
          <cell r="AA39">
            <v>110.88000000000001</v>
          </cell>
        </row>
        <row r="40">
          <cell r="Y40">
            <v>0.2</v>
          </cell>
          <cell r="AA40">
            <v>2.2000000000000002</v>
          </cell>
        </row>
        <row r="41">
          <cell r="Y41">
            <v>10.08</v>
          </cell>
          <cell r="AA41">
            <v>110.88000000000001</v>
          </cell>
        </row>
        <row r="42">
          <cell r="Y42">
            <v>0</v>
          </cell>
          <cell r="AA42">
            <v>0</v>
          </cell>
        </row>
        <row r="43">
          <cell r="Y43">
            <v>11.235000000000001</v>
          </cell>
          <cell r="AA43">
            <v>123.58500000000002</v>
          </cell>
        </row>
        <row r="44">
          <cell r="Y44">
            <v>0.2</v>
          </cell>
          <cell r="AA44">
            <v>2.2000000000000002</v>
          </cell>
        </row>
        <row r="45">
          <cell r="Y45">
            <v>6.7200000000000006</v>
          </cell>
          <cell r="AA45">
            <v>73.920000000000016</v>
          </cell>
        </row>
        <row r="46">
          <cell r="Y46">
            <v>0</v>
          </cell>
          <cell r="AA46">
            <v>0</v>
          </cell>
        </row>
        <row r="47">
          <cell r="Y47">
            <v>0</v>
          </cell>
          <cell r="AA47">
            <v>0</v>
          </cell>
        </row>
        <row r="48">
          <cell r="Y48">
            <v>4.62</v>
          </cell>
          <cell r="AA48">
            <v>50.820000000000007</v>
          </cell>
        </row>
        <row r="49">
          <cell r="Y49">
            <v>0</v>
          </cell>
          <cell r="AA49">
            <v>0</v>
          </cell>
        </row>
        <row r="50">
          <cell r="Y50">
            <v>0</v>
          </cell>
          <cell r="AA50">
            <v>0</v>
          </cell>
        </row>
        <row r="51">
          <cell r="Y51">
            <v>2.58</v>
          </cell>
          <cell r="AA51">
            <v>28.380000000000003</v>
          </cell>
        </row>
        <row r="52">
          <cell r="Y52">
            <v>0</v>
          </cell>
          <cell r="AA52">
            <v>0</v>
          </cell>
        </row>
        <row r="53">
          <cell r="Y53">
            <v>1</v>
          </cell>
          <cell r="AA53">
            <v>11</v>
          </cell>
        </row>
        <row r="54">
          <cell r="Y54">
            <v>1</v>
          </cell>
          <cell r="AA54">
            <v>11</v>
          </cell>
        </row>
        <row r="55">
          <cell r="Y55">
            <v>0</v>
          </cell>
          <cell r="AA55">
            <v>0</v>
          </cell>
        </row>
        <row r="56">
          <cell r="Y56">
            <v>1.1000000000000001</v>
          </cell>
          <cell r="AA56">
            <v>12.100000000000001</v>
          </cell>
        </row>
        <row r="57">
          <cell r="Y57">
            <v>4.7879999999999994</v>
          </cell>
          <cell r="AA57">
            <v>58.52</v>
          </cell>
        </row>
        <row r="58">
          <cell r="Y58">
            <v>0</v>
          </cell>
          <cell r="AA58">
            <v>0</v>
          </cell>
        </row>
        <row r="59">
          <cell r="Y59">
            <v>0</v>
          </cell>
          <cell r="AA59">
            <v>0</v>
          </cell>
        </row>
        <row r="60">
          <cell r="Y60">
            <v>1</v>
          </cell>
          <cell r="AA60">
            <v>11</v>
          </cell>
        </row>
        <row r="61">
          <cell r="Y61">
            <v>0.2</v>
          </cell>
          <cell r="AA61">
            <v>2.2000000000000002</v>
          </cell>
        </row>
        <row r="62">
          <cell r="Y62">
            <v>0</v>
          </cell>
          <cell r="AA62">
            <v>0</v>
          </cell>
        </row>
        <row r="63">
          <cell r="Y63">
            <v>4.62</v>
          </cell>
          <cell r="AA63">
            <v>50.820000000000007</v>
          </cell>
        </row>
        <row r="64">
          <cell r="Y64">
            <v>0</v>
          </cell>
          <cell r="AA64">
            <v>0</v>
          </cell>
        </row>
        <row r="65">
          <cell r="Y65">
            <v>0</v>
          </cell>
          <cell r="AA65">
            <v>0</v>
          </cell>
        </row>
        <row r="66">
          <cell r="Y66">
            <v>0</v>
          </cell>
          <cell r="AA66">
            <v>0</v>
          </cell>
        </row>
        <row r="67">
          <cell r="Y67">
            <v>2.54</v>
          </cell>
          <cell r="AA67">
            <v>27.94</v>
          </cell>
        </row>
        <row r="68">
          <cell r="Y68">
            <v>0</v>
          </cell>
          <cell r="AA68">
            <v>0</v>
          </cell>
        </row>
        <row r="69">
          <cell r="Y69">
            <v>2.34</v>
          </cell>
          <cell r="AA69">
            <v>25.740000000000002</v>
          </cell>
        </row>
        <row r="70">
          <cell r="Y70">
            <v>3.3600000000000003</v>
          </cell>
          <cell r="AA70">
            <v>36.960000000000008</v>
          </cell>
        </row>
        <row r="71">
          <cell r="Y71">
            <v>0</v>
          </cell>
          <cell r="AA71">
            <v>0</v>
          </cell>
        </row>
        <row r="72">
          <cell r="Y72">
            <v>0</v>
          </cell>
          <cell r="AA72">
            <v>0</v>
          </cell>
        </row>
        <row r="73">
          <cell r="Y73">
            <v>0</v>
          </cell>
          <cell r="AA73">
            <v>0</v>
          </cell>
        </row>
        <row r="74">
          <cell r="Y74">
            <v>4.78</v>
          </cell>
          <cell r="AA74">
            <v>52.58</v>
          </cell>
        </row>
        <row r="75">
          <cell r="Y75">
            <v>3.105</v>
          </cell>
          <cell r="AA75">
            <v>37.950000000000003</v>
          </cell>
        </row>
        <row r="76">
          <cell r="Y76">
            <v>0</v>
          </cell>
          <cell r="AA76">
            <v>0</v>
          </cell>
        </row>
        <row r="77">
          <cell r="Y77">
            <v>0</v>
          </cell>
          <cell r="AA77">
            <v>0</v>
          </cell>
        </row>
        <row r="78">
          <cell r="Y78">
            <v>5.5600000000000005</v>
          </cell>
          <cell r="AA78">
            <v>61.160000000000004</v>
          </cell>
        </row>
        <row r="79">
          <cell r="Y79">
            <v>0</v>
          </cell>
          <cell r="AA79">
            <v>0</v>
          </cell>
        </row>
        <row r="80">
          <cell r="Y80">
            <v>0</v>
          </cell>
          <cell r="AA80">
            <v>0</v>
          </cell>
        </row>
        <row r="81">
          <cell r="Y81">
            <v>0</v>
          </cell>
          <cell r="AA81">
            <v>0</v>
          </cell>
        </row>
        <row r="82">
          <cell r="Y82">
            <v>4.83</v>
          </cell>
          <cell r="AA82">
            <v>53.13</v>
          </cell>
        </row>
        <row r="83">
          <cell r="Y83">
            <v>0</v>
          </cell>
          <cell r="AA83">
            <v>0</v>
          </cell>
        </row>
        <row r="84">
          <cell r="Y84">
            <v>3.78</v>
          </cell>
          <cell r="AA84">
            <v>41.58</v>
          </cell>
        </row>
        <row r="85">
          <cell r="Y85">
            <v>0</v>
          </cell>
          <cell r="AA85">
            <v>0</v>
          </cell>
        </row>
        <row r="86">
          <cell r="Y86"/>
          <cell r="AA86"/>
        </row>
        <row r="87">
          <cell r="Y87">
            <v>0</v>
          </cell>
          <cell r="AA87">
            <v>0</v>
          </cell>
        </row>
        <row r="88">
          <cell r="Y88">
            <v>3.3600000000000003</v>
          </cell>
          <cell r="AA88">
            <v>36.960000000000008</v>
          </cell>
        </row>
        <row r="89">
          <cell r="Y89">
            <v>0.67</v>
          </cell>
          <cell r="AA89">
            <v>7.370000000000001</v>
          </cell>
        </row>
        <row r="90">
          <cell r="Y90"/>
          <cell r="AA90"/>
        </row>
        <row r="91">
          <cell r="Y91">
            <v>9.0000000000000011E-2</v>
          </cell>
          <cell r="AA91">
            <v>0.9900000000000001</v>
          </cell>
        </row>
        <row r="92">
          <cell r="Y92">
            <v>4.08</v>
          </cell>
          <cell r="AA92">
            <v>44.88</v>
          </cell>
        </row>
        <row r="93">
          <cell r="Y93">
            <v>0</v>
          </cell>
          <cell r="AA93">
            <v>0</v>
          </cell>
        </row>
        <row r="94">
          <cell r="Y94">
            <v>0</v>
          </cell>
          <cell r="AA94">
            <v>0</v>
          </cell>
        </row>
        <row r="95">
          <cell r="Y95">
            <v>0</v>
          </cell>
          <cell r="AA95">
            <v>0</v>
          </cell>
        </row>
        <row r="96">
          <cell r="Y96">
            <v>0</v>
          </cell>
          <cell r="AA96">
            <v>0</v>
          </cell>
        </row>
        <row r="97">
          <cell r="Y97">
            <v>0.11000000000000001</v>
          </cell>
          <cell r="AA97">
            <v>1.2100000000000002</v>
          </cell>
        </row>
        <row r="98">
          <cell r="Y98">
            <v>6.4980000000000002</v>
          </cell>
          <cell r="AA98">
            <v>79.420000000000016</v>
          </cell>
        </row>
        <row r="99">
          <cell r="Y99">
            <v>0</v>
          </cell>
          <cell r="AA99">
            <v>0</v>
          </cell>
        </row>
        <row r="100">
          <cell r="Y100">
            <v>0</v>
          </cell>
          <cell r="AA100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DU134"/>
  <sheetViews>
    <sheetView topLeftCell="A16" zoomScale="70" zoomScaleNormal="70" workbookViewId="0">
      <selection activeCell="AC17" sqref="AC17:BK72"/>
    </sheetView>
  </sheetViews>
  <sheetFormatPr defaultRowHeight="15" x14ac:dyDescent="0.25"/>
  <cols>
    <col min="2" max="2" width="10.5703125" customWidth="1"/>
    <col min="3" max="9" width="7.85546875" customWidth="1"/>
    <col min="10" max="10" width="8.85546875" bestFit="1" customWidth="1"/>
    <col min="11" max="11" width="8.5703125" customWidth="1"/>
    <col min="12" max="12" width="9.28515625" customWidth="1"/>
    <col min="13" max="13" width="8" customWidth="1"/>
    <col min="14" max="14" width="6" customWidth="1"/>
    <col min="15" max="15" width="6.140625" customWidth="1"/>
    <col min="16" max="16" width="6.28515625" customWidth="1"/>
    <col min="17" max="17" width="5.85546875" customWidth="1"/>
    <col min="18" max="18" width="9.140625" customWidth="1"/>
    <col min="19" max="20" width="9" customWidth="1"/>
    <col min="21" max="22" width="10.7109375" customWidth="1"/>
    <col min="23" max="23" width="7.28515625" customWidth="1"/>
    <col min="24" max="24" width="17.42578125" customWidth="1"/>
    <col min="25" max="25" width="12.28515625" customWidth="1"/>
    <col min="26" max="26" width="9.28515625" customWidth="1"/>
    <col min="27" max="27" width="9.85546875" customWidth="1"/>
    <col min="28" max="28" width="7.5703125" customWidth="1"/>
    <col min="29" max="29" width="6.5703125" customWidth="1"/>
    <col min="30" max="30" width="5.7109375" style="19" customWidth="1"/>
    <col min="31" max="31" width="7.28515625" customWidth="1"/>
    <col min="32" max="32" width="7.28515625" hidden="1" customWidth="1"/>
    <col min="33" max="34" width="9.5703125" hidden="1" customWidth="1"/>
    <col min="35" max="35" width="7.5703125" customWidth="1"/>
    <col min="36" max="36" width="10.140625" hidden="1" customWidth="1"/>
    <col min="37" max="37" width="8.28515625" hidden="1" customWidth="1"/>
    <col min="38" max="38" width="11.42578125" customWidth="1"/>
    <col min="39" max="40" width="11.85546875" hidden="1" customWidth="1"/>
    <col min="41" max="41" width="14.140625" style="19" customWidth="1"/>
    <col min="42" max="43" width="14.140625" style="19" hidden="1" customWidth="1"/>
    <col min="44" max="45" width="12.140625" hidden="1" customWidth="1"/>
    <col min="46" max="46" width="12.5703125" bestFit="1" customWidth="1"/>
    <col min="47" max="47" width="9.42578125" hidden="1" customWidth="1"/>
    <col min="48" max="48" width="10.5703125" hidden="1" customWidth="1"/>
    <col min="51" max="52" width="10.7109375" customWidth="1"/>
    <col min="53" max="53" width="9.42578125" bestFit="1" customWidth="1"/>
    <col min="54" max="56" width="14.7109375" customWidth="1"/>
    <col min="57" max="57" width="11.85546875" customWidth="1"/>
    <col min="58" max="58" width="9.85546875" customWidth="1"/>
    <col min="59" max="60" width="10.42578125" customWidth="1"/>
    <col min="61" max="61" width="11" customWidth="1"/>
    <col min="62" max="62" width="7" bestFit="1" customWidth="1"/>
    <col min="63" max="63" width="26.5703125" customWidth="1"/>
    <col min="64" max="64" width="17" customWidth="1"/>
    <col min="65" max="72" width="14.5703125" customWidth="1"/>
    <col min="73" max="76" width="11.7109375" bestFit="1" customWidth="1"/>
    <col min="77" max="77" width="12.140625" bestFit="1" customWidth="1"/>
    <col min="78" max="78" width="10" bestFit="1" customWidth="1"/>
    <col min="79" max="79" width="5" bestFit="1" customWidth="1"/>
    <col min="80" max="80" width="10" bestFit="1" customWidth="1"/>
    <col min="81" max="82" width="8.7109375" bestFit="1" customWidth="1"/>
    <col min="83" max="83" width="12.5703125" bestFit="1" customWidth="1"/>
    <col min="84" max="84" width="11.28515625" bestFit="1" customWidth="1"/>
    <col min="85" max="85" width="17" bestFit="1" customWidth="1"/>
    <col min="86" max="86" width="14.5703125" bestFit="1" customWidth="1"/>
    <col min="87" max="87" width="15.5703125" bestFit="1" customWidth="1"/>
    <col min="88" max="97" width="14.42578125" customWidth="1"/>
    <col min="98" max="98" width="11.85546875" bestFit="1" customWidth="1"/>
    <col min="99" max="99" width="11.85546875" customWidth="1"/>
    <col min="100" max="100" width="12.85546875" bestFit="1" customWidth="1"/>
    <col min="102" max="102" width="20.28515625" bestFit="1" customWidth="1"/>
    <col min="108" max="109" width="12" bestFit="1" customWidth="1"/>
    <col min="110" max="110" width="8" bestFit="1" customWidth="1"/>
    <col min="111" max="111" width="7" bestFit="1" customWidth="1"/>
    <col min="112" max="112" width="8" bestFit="1" customWidth="1"/>
    <col min="113" max="115" width="12" bestFit="1" customWidth="1"/>
    <col min="118" max="118" width="12" bestFit="1" customWidth="1"/>
    <col min="120" max="120" width="11" bestFit="1" customWidth="1"/>
    <col min="121" max="121" width="14.7109375" bestFit="1" customWidth="1"/>
    <col min="122" max="122" width="2" bestFit="1" customWidth="1"/>
    <col min="125" max="125" width="12" bestFit="1" customWidth="1"/>
  </cols>
  <sheetData>
    <row r="4" spans="2:121" ht="15.75" thickBot="1" x14ac:dyDescent="0.3">
      <c r="J4" s="1"/>
      <c r="K4" s="3"/>
      <c r="O4" s="2" t="s">
        <v>40</v>
      </c>
      <c r="P4" s="3"/>
      <c r="Q4" s="11"/>
      <c r="R4" s="1"/>
      <c r="S4" s="3"/>
      <c r="T4" s="3"/>
      <c r="U4" s="3"/>
      <c r="V4" s="3"/>
      <c r="W4" s="3"/>
      <c r="AB4" s="3"/>
      <c r="AV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</row>
    <row r="5" spans="2:121" ht="102" thickBot="1" x14ac:dyDescent="0.35">
      <c r="B5" s="42" t="s">
        <v>91</v>
      </c>
      <c r="C5" s="86"/>
      <c r="D5" s="86"/>
      <c r="E5" s="86"/>
      <c r="F5" s="86"/>
      <c r="G5" s="86"/>
      <c r="H5" s="42" t="s">
        <v>29</v>
      </c>
      <c r="I5" s="86"/>
      <c r="J5" s="1"/>
      <c r="K5" s="3"/>
      <c r="M5" s="18" t="s">
        <v>39</v>
      </c>
      <c r="O5" s="2" t="s">
        <v>41</v>
      </c>
      <c r="P5" s="3" t="s">
        <v>62</v>
      </c>
      <c r="Q5" s="11" t="s">
        <v>42</v>
      </c>
      <c r="R5" s="1" t="s">
        <v>43</v>
      </c>
      <c r="S5" s="3" t="s">
        <v>63</v>
      </c>
      <c r="T5" s="3"/>
      <c r="U5" s="3"/>
      <c r="V5" s="3"/>
      <c r="W5" s="3"/>
      <c r="Y5" s="46" t="s">
        <v>53</v>
      </c>
      <c r="Z5" s="46"/>
      <c r="AB5" s="3"/>
      <c r="AV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</row>
    <row r="6" spans="2:121" ht="19.5" x14ac:dyDescent="0.3">
      <c r="B6" s="41" t="s">
        <v>93</v>
      </c>
      <c r="C6" s="44">
        <f>BO19</f>
        <v>0</v>
      </c>
      <c r="D6" s="44"/>
      <c r="E6" s="86"/>
      <c r="F6" s="86"/>
      <c r="G6" s="86"/>
      <c r="H6" s="41" t="s">
        <v>30</v>
      </c>
      <c r="I6" s="86"/>
      <c r="J6" s="44">
        <f>BU19</f>
        <v>14</v>
      </c>
      <c r="K6" s="3"/>
      <c r="M6" t="s">
        <v>286</v>
      </c>
      <c r="O6" s="2"/>
      <c r="P6" s="3"/>
      <c r="Q6" s="11"/>
      <c r="R6" s="1">
        <f>1+3+3+2</f>
        <v>9</v>
      </c>
      <c r="S6" s="3"/>
      <c r="T6" s="3"/>
      <c r="U6" s="3"/>
      <c r="V6" s="3"/>
      <c r="W6" s="3">
        <f>1.436*0.976*1.65</f>
        <v>2.3125343999999997</v>
      </c>
      <c r="Y6" s="47">
        <f>SUM(N6:S12)</f>
        <v>11</v>
      </c>
      <c r="Z6" s="47"/>
      <c r="AA6" s="47">
        <f>Y6-M18</f>
        <v>-5</v>
      </c>
      <c r="AB6" s="3"/>
      <c r="AV6" s="4"/>
      <c r="AY6" s="175"/>
      <c r="AZ6" s="175"/>
      <c r="BA6" s="175"/>
      <c r="BB6" s="175" t="s">
        <v>12</v>
      </c>
      <c r="BC6" s="175"/>
      <c r="BD6" s="175"/>
      <c r="BE6" s="220">
        <f>BA19</f>
        <v>1327.2248841600003</v>
      </c>
      <c r="BF6" s="175" t="s">
        <v>64</v>
      </c>
      <c r="BG6" s="175"/>
      <c r="BH6" s="175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>
        <f>CD19</f>
        <v>0</v>
      </c>
      <c r="BW6" s="4">
        <f t="shared" ref="BW6:BW12" si="0">SUM(N6:S6)-BV6</f>
        <v>9</v>
      </c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</row>
    <row r="7" spans="2:121" ht="19.5" x14ac:dyDescent="0.3">
      <c r="B7" s="41" t="s">
        <v>92</v>
      </c>
      <c r="C7" s="44">
        <f>BP19</f>
        <v>4</v>
      </c>
      <c r="D7" s="44"/>
      <c r="E7" s="87"/>
      <c r="F7" s="87"/>
      <c r="G7" s="87"/>
      <c r="H7" s="38" t="s">
        <v>31</v>
      </c>
      <c r="I7" s="87"/>
      <c r="J7" s="44">
        <f>BV19</f>
        <v>9</v>
      </c>
      <c r="K7" s="3"/>
      <c r="M7" t="s">
        <v>287</v>
      </c>
      <c r="O7" s="2"/>
      <c r="P7" s="3"/>
      <c r="Q7" s="11"/>
      <c r="R7" s="1">
        <v>1</v>
      </c>
      <c r="S7" s="3"/>
      <c r="T7" s="3"/>
      <c r="U7" s="3"/>
      <c r="V7" s="3"/>
      <c r="W7" s="3">
        <f>2.03*1.326*1.65</f>
        <v>4.4414369999999996</v>
      </c>
      <c r="AB7" s="3"/>
      <c r="AV7" s="4"/>
      <c r="AY7" s="175"/>
      <c r="AZ7" s="175"/>
      <c r="BA7" s="175"/>
      <c r="BB7" s="175" t="s">
        <v>13</v>
      </c>
      <c r="BC7" s="175"/>
      <c r="BD7" s="175"/>
      <c r="BE7" s="220">
        <f>BE19</f>
        <v>798</v>
      </c>
      <c r="BF7" s="175" t="s">
        <v>64</v>
      </c>
      <c r="BG7" s="175"/>
      <c r="BH7" s="175"/>
      <c r="BJ7" s="233">
        <f>BE6-BE8</f>
        <v>398.16746524800021</v>
      </c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>
        <f>BZ19</f>
        <v>0</v>
      </c>
      <c r="BW7" s="4">
        <f t="shared" si="0"/>
        <v>1</v>
      </c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</row>
    <row r="8" spans="2:121" ht="19.5" x14ac:dyDescent="0.3">
      <c r="B8" s="41" t="s">
        <v>94</v>
      </c>
      <c r="C8" s="44">
        <f>BQ19</f>
        <v>18</v>
      </c>
      <c r="D8" s="44"/>
      <c r="E8" s="88"/>
      <c r="F8" s="88"/>
      <c r="G8" s="88"/>
      <c r="H8" s="39" t="s">
        <v>32</v>
      </c>
      <c r="I8" s="88"/>
      <c r="J8" s="44">
        <f>BW19</f>
        <v>4</v>
      </c>
      <c r="K8" s="3"/>
      <c r="M8" t="s">
        <v>288</v>
      </c>
      <c r="O8" s="2"/>
      <c r="P8" s="3"/>
      <c r="Q8" s="11"/>
      <c r="R8" s="1">
        <v>1</v>
      </c>
      <c r="S8" s="3"/>
      <c r="T8" s="3"/>
      <c r="U8" s="3"/>
      <c r="V8" s="3"/>
      <c r="W8" s="3">
        <f>1.626*0.875*1.65</f>
        <v>2.3475374999999996</v>
      </c>
      <c r="AB8" s="3"/>
      <c r="AV8" s="4"/>
      <c r="AY8" s="175"/>
      <c r="AZ8" s="175"/>
      <c r="BA8" s="175"/>
      <c r="BB8" s="177" t="s">
        <v>171</v>
      </c>
      <c r="BC8" s="177"/>
      <c r="BD8" s="177"/>
      <c r="BE8" s="220">
        <f>BE6*0.7</f>
        <v>929.05741891200012</v>
      </c>
      <c r="BF8" s="175" t="s">
        <v>64</v>
      </c>
      <c r="BG8" s="175"/>
      <c r="BH8" s="175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>
        <f>CC19</f>
        <v>0</v>
      </c>
      <c r="BW8" s="4">
        <f t="shared" si="0"/>
        <v>1</v>
      </c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</row>
    <row r="9" spans="2:121" ht="20.25" thickBot="1" x14ac:dyDescent="0.35">
      <c r="B9" s="41" t="s">
        <v>95</v>
      </c>
      <c r="C9" s="44">
        <f>BR19</f>
        <v>4</v>
      </c>
      <c r="D9" s="44"/>
      <c r="E9" s="89"/>
      <c r="F9" s="89"/>
      <c r="G9" s="89"/>
      <c r="H9" s="40" t="s">
        <v>33</v>
      </c>
      <c r="I9" s="89"/>
      <c r="J9" s="44">
        <f>BX19</f>
        <v>1</v>
      </c>
      <c r="K9" s="3"/>
      <c r="M9" t="s">
        <v>38</v>
      </c>
      <c r="O9" s="2"/>
      <c r="P9" s="3"/>
      <c r="Q9" s="11"/>
      <c r="R9" s="1"/>
      <c r="S9" s="3"/>
      <c r="T9" s="3"/>
      <c r="U9" s="3"/>
      <c r="V9" s="3"/>
      <c r="W9" s="3"/>
      <c r="AB9" s="3"/>
      <c r="AV9" s="4"/>
      <c r="AY9" s="175"/>
      <c r="AZ9" s="175"/>
      <c r="BA9" s="175"/>
      <c r="BB9" s="177" t="s">
        <v>105</v>
      </c>
      <c r="BC9" s="177"/>
      <c r="BD9" s="177"/>
      <c r="BE9" s="220">
        <f>BE7*0.15</f>
        <v>119.69999999999999</v>
      </c>
      <c r="BF9" s="175" t="s">
        <v>64</v>
      </c>
      <c r="BG9" s="175"/>
      <c r="BH9" s="175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>
        <f>CB19</f>
        <v>0</v>
      </c>
      <c r="BW9" s="4">
        <f t="shared" si="0"/>
        <v>0</v>
      </c>
      <c r="BX9" s="4"/>
      <c r="BY9" s="4"/>
      <c r="BZ9" s="4"/>
      <c r="CA9" s="4"/>
      <c r="CB9" s="4"/>
      <c r="CC9" s="4"/>
      <c r="CD9" s="4"/>
      <c r="CG9" s="4"/>
      <c r="CH9" s="4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</row>
    <row r="10" spans="2:121" ht="22.5" x14ac:dyDescent="0.3">
      <c r="B10" s="41" t="s">
        <v>96</v>
      </c>
      <c r="C10" s="44">
        <f>BS19</f>
        <v>7</v>
      </c>
      <c r="D10" s="44"/>
      <c r="E10" s="89"/>
      <c r="F10" s="89"/>
      <c r="G10" s="89"/>
      <c r="H10" s="45" t="s">
        <v>52</v>
      </c>
      <c r="I10" s="89"/>
      <c r="J10" s="44">
        <f>BY19</f>
        <v>1</v>
      </c>
      <c r="K10" s="3"/>
      <c r="O10" s="2"/>
      <c r="P10" s="3"/>
      <c r="Q10" s="11"/>
      <c r="R10" s="1"/>
      <c r="S10" s="3"/>
      <c r="T10" s="3"/>
      <c r="U10" s="3"/>
      <c r="V10" s="3"/>
      <c r="W10" s="3"/>
      <c r="AB10" s="3"/>
      <c r="AV10" s="4"/>
      <c r="AY10" s="175"/>
      <c r="AZ10" s="175"/>
      <c r="BA10" s="175"/>
      <c r="BB10" s="175"/>
      <c r="BC10" s="175"/>
      <c r="BD10" s="175"/>
      <c r="BE10" s="220"/>
      <c r="BF10" s="175"/>
      <c r="BG10" s="175"/>
      <c r="BH10" s="175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>
        <f t="shared" si="0"/>
        <v>0</v>
      </c>
      <c r="BX10" s="4"/>
      <c r="BY10" s="4"/>
      <c r="BZ10" s="4"/>
      <c r="CA10" s="4"/>
      <c r="CB10" s="4"/>
      <c r="CC10" s="4"/>
      <c r="CD10" s="4"/>
      <c r="CG10" s="4"/>
      <c r="CH10" s="4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</row>
    <row r="11" spans="2:121" ht="19.5" x14ac:dyDescent="0.3">
      <c r="J11" s="1"/>
      <c r="K11" s="3"/>
      <c r="M11" t="s">
        <v>48</v>
      </c>
      <c r="O11" s="2"/>
      <c r="P11" s="3"/>
      <c r="Q11" s="11"/>
      <c r="R11" s="1"/>
      <c r="S11" s="3"/>
      <c r="T11" s="3"/>
      <c r="U11" s="3"/>
      <c r="V11" s="3"/>
      <c r="W11" s="3"/>
      <c r="AB11" s="3"/>
      <c r="AV11" s="4"/>
      <c r="AY11" s="175"/>
      <c r="AZ11" s="175"/>
      <c r="BA11" s="175"/>
      <c r="BB11" s="177" t="s">
        <v>106</v>
      </c>
      <c r="BC11" s="177"/>
      <c r="BD11" s="177"/>
      <c r="BE11" s="220">
        <f>BE6-BE7+BE9</f>
        <v>648.92488416000037</v>
      </c>
      <c r="BF11" s="175" t="s">
        <v>64</v>
      </c>
      <c r="BG11" s="175"/>
      <c r="BH11" s="175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>
        <f>CE19</f>
        <v>0</v>
      </c>
      <c r="BW11" s="4">
        <f t="shared" si="0"/>
        <v>0</v>
      </c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</row>
    <row r="12" spans="2:121" ht="19.5" x14ac:dyDescent="0.3">
      <c r="C12" s="44">
        <f t="shared" ref="C12" si="1">SUM(C6:C11)</f>
        <v>33</v>
      </c>
      <c r="D12" s="44"/>
      <c r="E12" s="44"/>
      <c r="F12" s="44"/>
      <c r="G12" s="44"/>
      <c r="H12" s="44"/>
      <c r="I12" s="44"/>
      <c r="J12" s="44">
        <f>SUM(J6:J11)</f>
        <v>29</v>
      </c>
      <c r="K12" s="3"/>
      <c r="M12" t="s">
        <v>50</v>
      </c>
      <c r="O12" s="2"/>
      <c r="P12" s="3"/>
      <c r="Q12" s="11"/>
      <c r="R12" s="1"/>
      <c r="S12" s="3"/>
      <c r="T12" s="3"/>
      <c r="U12" s="3"/>
      <c r="V12" s="3"/>
      <c r="W12" s="3"/>
      <c r="AB12" s="3"/>
      <c r="AV12" s="4"/>
      <c r="AY12" s="175"/>
      <c r="AZ12" s="175"/>
      <c r="BA12" s="175"/>
      <c r="BB12" s="175"/>
      <c r="BC12" s="175"/>
      <c r="BD12" s="175"/>
      <c r="BE12" s="220"/>
      <c r="BF12" s="220"/>
      <c r="BG12" s="220"/>
      <c r="BH12" s="220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>
        <f>CF19</f>
        <v>0</v>
      </c>
      <c r="BW12" s="4">
        <f t="shared" si="0"/>
        <v>0</v>
      </c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</row>
    <row r="13" spans="2:121" x14ac:dyDescent="0.25">
      <c r="J13" s="1"/>
      <c r="K13" s="3"/>
      <c r="O13" s="2"/>
      <c r="R13" s="1"/>
      <c r="S13" s="3"/>
      <c r="T13" s="3"/>
      <c r="U13" s="3"/>
      <c r="V13" s="3"/>
      <c r="W13" s="3"/>
      <c r="AA13" s="12"/>
      <c r="AB13" s="3"/>
      <c r="AV13" s="4" t="s">
        <v>122</v>
      </c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</row>
    <row r="14" spans="2:121" ht="15.75" x14ac:dyDescent="0.25">
      <c r="J14" s="1"/>
      <c r="K14" s="3"/>
      <c r="O14" s="2"/>
      <c r="S14" s="3"/>
      <c r="T14" s="3"/>
      <c r="U14" s="3"/>
      <c r="V14" s="3"/>
      <c r="W14" s="3"/>
      <c r="AB14" s="3"/>
      <c r="AI14" s="1"/>
      <c r="BB14" s="90" t="s">
        <v>85</v>
      </c>
      <c r="BC14" s="90"/>
      <c r="BD14" s="90"/>
      <c r="BE14" s="90"/>
      <c r="BF14" s="90"/>
      <c r="BG14" s="90"/>
      <c r="BH14" s="90"/>
      <c r="BI14" s="268">
        <f>BI19/K18</f>
        <v>188.18181818181819</v>
      </c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 t="s">
        <v>67</v>
      </c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DQ14" s="1" t="s">
        <v>0</v>
      </c>
    </row>
    <row r="15" spans="2:121" ht="15.75" x14ac:dyDescent="0.25">
      <c r="K15" s="5" t="s">
        <v>1</v>
      </c>
      <c r="S15" s="3"/>
      <c r="T15" s="3"/>
      <c r="U15" s="3"/>
      <c r="V15" s="3"/>
      <c r="W15" s="3"/>
      <c r="AB15" s="3"/>
      <c r="AI15" s="1"/>
      <c r="AJ15" s="5"/>
      <c r="AK15" s="5"/>
      <c r="AT15" t="s">
        <v>66</v>
      </c>
      <c r="BB15" s="91">
        <f>K18</f>
        <v>33</v>
      </c>
      <c r="BC15" s="91"/>
      <c r="BD15" s="91"/>
      <c r="BE15" s="90" t="s">
        <v>83</v>
      </c>
      <c r="BF15" s="90"/>
      <c r="BG15" s="90"/>
      <c r="BH15" s="90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DQ15" s="1" t="s">
        <v>2</v>
      </c>
    </row>
    <row r="16" spans="2:121" ht="16.5" thickBot="1" x14ac:dyDescent="0.3">
      <c r="K16" s="5" t="s">
        <v>3</v>
      </c>
      <c r="S16" s="3"/>
      <c r="T16" s="3"/>
      <c r="U16" s="3"/>
      <c r="V16" s="3"/>
      <c r="W16" s="3"/>
      <c r="AB16" s="3"/>
      <c r="AI16" s="1"/>
      <c r="AJ16" s="5"/>
      <c r="AK16" s="5"/>
      <c r="AT16">
        <v>1.5</v>
      </c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DN16" s="6" t="s">
        <v>5</v>
      </c>
      <c r="DQ16" s="1" t="s">
        <v>4</v>
      </c>
    </row>
    <row r="17" spans="1:125" s="19" customFormat="1" ht="99.75" customHeight="1" thickBot="1" x14ac:dyDescent="0.35">
      <c r="A17" s="126" t="s">
        <v>61</v>
      </c>
      <c r="B17" s="135"/>
      <c r="C17" s="442" t="s">
        <v>128</v>
      </c>
      <c r="D17" s="443"/>
      <c r="E17" s="444"/>
      <c r="F17" s="445"/>
      <c r="G17" s="445"/>
      <c r="H17" s="446"/>
      <c r="I17" s="308"/>
      <c r="J17" s="140" t="s">
        <v>6</v>
      </c>
      <c r="K17" s="127" t="s">
        <v>129</v>
      </c>
      <c r="L17" s="128" t="s">
        <v>10</v>
      </c>
      <c r="M17" s="141" t="s">
        <v>80</v>
      </c>
      <c r="N17" s="148" t="s">
        <v>7</v>
      </c>
      <c r="O17" s="128" t="s">
        <v>8</v>
      </c>
      <c r="P17" s="128" t="s">
        <v>9</v>
      </c>
      <c r="Q17" s="127" t="s">
        <v>79</v>
      </c>
      <c r="R17" s="127" t="s">
        <v>27</v>
      </c>
      <c r="S17" s="141" t="s">
        <v>90</v>
      </c>
      <c r="T17" s="287" t="s">
        <v>289</v>
      </c>
      <c r="U17" s="287" t="s">
        <v>290</v>
      </c>
      <c r="V17" s="287" t="s">
        <v>291</v>
      </c>
      <c r="W17" s="147" t="s">
        <v>81</v>
      </c>
      <c r="X17" s="129" t="s">
        <v>17</v>
      </c>
      <c r="Y17" s="128"/>
      <c r="Z17" s="127" t="s">
        <v>78</v>
      </c>
      <c r="AA17" s="128"/>
      <c r="AB17" s="130"/>
      <c r="AC17" s="57"/>
      <c r="AD17" s="57"/>
      <c r="AE17" s="439" t="s">
        <v>18</v>
      </c>
      <c r="AF17" s="440"/>
      <c r="AG17" s="440"/>
      <c r="AH17" s="440"/>
      <c r="AI17" s="441"/>
      <c r="AJ17" s="98" t="s">
        <v>24</v>
      </c>
      <c r="AK17" s="97"/>
      <c r="AL17" s="439" t="s">
        <v>19</v>
      </c>
      <c r="AM17" s="440"/>
      <c r="AN17" s="440"/>
      <c r="AO17" s="440"/>
      <c r="AP17" s="97"/>
      <c r="AQ17" s="97"/>
      <c r="AR17" s="98"/>
      <c r="AS17" s="98"/>
      <c r="AT17" s="152" t="s">
        <v>65</v>
      </c>
      <c r="AU17" s="58"/>
      <c r="AV17" s="57"/>
      <c r="AW17" s="100"/>
      <c r="AX17" s="101" t="s">
        <v>86</v>
      </c>
      <c r="AY17" s="101"/>
      <c r="AZ17" s="101"/>
      <c r="BA17" s="267" t="s">
        <v>253</v>
      </c>
      <c r="BB17" s="244" t="s">
        <v>256</v>
      </c>
      <c r="BC17" s="244" t="s">
        <v>255</v>
      </c>
      <c r="BD17" s="244" t="s">
        <v>257</v>
      </c>
      <c r="BE17" s="247" t="s">
        <v>104</v>
      </c>
      <c r="BF17" s="245" t="s">
        <v>258</v>
      </c>
      <c r="BG17" s="245" t="s">
        <v>220</v>
      </c>
      <c r="BH17" s="252" t="s">
        <v>219</v>
      </c>
      <c r="BI17" s="225" t="s">
        <v>177</v>
      </c>
      <c r="BJ17" s="115"/>
      <c r="BK17" s="225" t="s">
        <v>178</v>
      </c>
      <c r="BL17" s="7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31"/>
      <c r="CI17" s="7"/>
      <c r="CJ17" s="7" t="s">
        <v>12</v>
      </c>
      <c r="CK17" s="7"/>
      <c r="CL17" s="7"/>
      <c r="CM17" s="7"/>
      <c r="CN17" s="7"/>
      <c r="CO17" s="7"/>
      <c r="CP17" s="7" t="s">
        <v>75</v>
      </c>
      <c r="CQ17" s="7"/>
      <c r="CR17" s="7"/>
      <c r="CS17" s="7"/>
      <c r="CT17" s="7"/>
      <c r="CU17" s="7"/>
      <c r="CV17" s="7"/>
      <c r="CW17" s="7"/>
      <c r="CX17" s="7"/>
      <c r="DQ17" s="5">
        <f>SUM(DP20:DR103)</f>
        <v>0</v>
      </c>
    </row>
    <row r="18" spans="1:125" ht="76.5" customHeight="1" thickBot="1" x14ac:dyDescent="0.35">
      <c r="A18" s="28"/>
      <c r="B18" s="113"/>
      <c r="C18" s="193" t="s">
        <v>123</v>
      </c>
      <c r="D18" s="271" t="s">
        <v>192</v>
      </c>
      <c r="E18" s="193" t="s">
        <v>124</v>
      </c>
      <c r="F18" s="271" t="s">
        <v>193</v>
      </c>
      <c r="G18" s="193" t="s">
        <v>125</v>
      </c>
      <c r="H18" s="271" t="s">
        <v>194</v>
      </c>
      <c r="I18" s="271" t="s">
        <v>311</v>
      </c>
      <c r="J18" s="142"/>
      <c r="K18" s="123">
        <f>SUM(K20:K100)</f>
        <v>33</v>
      </c>
      <c r="L18" s="72"/>
      <c r="M18" s="143">
        <f>SUM(M20:M100)</f>
        <v>16</v>
      </c>
      <c r="N18" s="149"/>
      <c r="O18" s="75"/>
      <c r="P18" s="75"/>
      <c r="Q18" s="75"/>
      <c r="R18" s="75"/>
      <c r="S18" s="131"/>
      <c r="T18" s="288"/>
      <c r="U18" s="288"/>
      <c r="V18" s="288"/>
      <c r="W18" s="138"/>
      <c r="X18" s="72"/>
      <c r="Y18" s="72"/>
      <c r="Z18" s="72"/>
      <c r="AA18" s="75"/>
      <c r="AB18" s="131"/>
      <c r="AC18" s="59"/>
      <c r="AD18" s="7"/>
      <c r="AE18" s="20" t="s">
        <v>26</v>
      </c>
      <c r="AF18" s="20" t="s">
        <v>248</v>
      </c>
      <c r="AG18" s="20" t="s">
        <v>26</v>
      </c>
      <c r="AH18" s="20" t="s">
        <v>248</v>
      </c>
      <c r="AI18" s="18" t="s">
        <v>77</v>
      </c>
      <c r="AJ18" s="304" t="s">
        <v>25</v>
      </c>
      <c r="AK18" s="17"/>
      <c r="AL18" s="21" t="s">
        <v>101</v>
      </c>
      <c r="AM18" s="22" t="s">
        <v>102</v>
      </c>
      <c r="AN18" s="23" t="s">
        <v>119</v>
      </c>
      <c r="AO18" s="205" t="s">
        <v>130</v>
      </c>
      <c r="AP18" s="58" t="s">
        <v>250</v>
      </c>
      <c r="AQ18" s="23" t="s">
        <v>251</v>
      </c>
      <c r="AR18" s="23" t="s">
        <v>103</v>
      </c>
      <c r="AS18" s="23"/>
      <c r="AT18" s="212"/>
      <c r="AU18" s="23" t="s">
        <v>252</v>
      </c>
      <c r="AV18" s="23" t="s">
        <v>107</v>
      </c>
      <c r="AW18" s="28"/>
      <c r="AX18" s="99" t="s">
        <v>121</v>
      </c>
      <c r="AY18" s="99" t="s">
        <v>87</v>
      </c>
      <c r="AZ18" s="99" t="s">
        <v>254</v>
      </c>
      <c r="BA18" s="72" t="s">
        <v>64</v>
      </c>
      <c r="BB18" s="113" t="s">
        <v>11</v>
      </c>
      <c r="BC18" s="113" t="s">
        <v>11</v>
      </c>
      <c r="BD18" s="113" t="s">
        <v>64</v>
      </c>
      <c r="BE18" s="153" t="s">
        <v>64</v>
      </c>
      <c r="BF18" s="221"/>
      <c r="BG18" s="221"/>
      <c r="BH18" s="253"/>
      <c r="BI18" s="68" t="s">
        <v>179</v>
      </c>
      <c r="BJ18" s="221"/>
      <c r="BK18" s="68" t="s">
        <v>11</v>
      </c>
      <c r="BL18" s="3">
        <f>IF(AE18="ANO",1,0)</f>
        <v>0</v>
      </c>
      <c r="BM18" s="3">
        <f>IF(AI18="ANO",1,0)</f>
        <v>0</v>
      </c>
      <c r="BN18" s="3"/>
      <c r="BO18" s="43" t="s">
        <v>97</v>
      </c>
      <c r="BP18" s="43" t="s">
        <v>98</v>
      </c>
      <c r="BQ18" s="43" t="s">
        <v>99</v>
      </c>
      <c r="BR18" s="43" t="s">
        <v>100</v>
      </c>
      <c r="BS18" s="43" t="s">
        <v>96</v>
      </c>
      <c r="BT18" s="43"/>
      <c r="BU18" s="43" t="s">
        <v>34</v>
      </c>
      <c r="BV18" s="43" t="s">
        <v>35</v>
      </c>
      <c r="BW18" s="43" t="s">
        <v>36</v>
      </c>
      <c r="BX18" s="43" t="s">
        <v>37</v>
      </c>
      <c r="BY18" s="43" t="s">
        <v>51</v>
      </c>
      <c r="BZ18" s="43" t="s">
        <v>44</v>
      </c>
      <c r="CA18" s="43"/>
      <c r="CB18" s="43" t="s">
        <v>45</v>
      </c>
      <c r="CC18" s="43" t="s">
        <v>46</v>
      </c>
      <c r="CD18" s="43" t="s">
        <v>47</v>
      </c>
      <c r="CE18" s="43" t="s">
        <v>48</v>
      </c>
      <c r="CF18" s="43" t="s">
        <v>49</v>
      </c>
      <c r="CG18" s="3">
        <f>IF(AL18="ANO",1,0)</f>
        <v>0</v>
      </c>
      <c r="CH18" s="3">
        <f>IF(AO18="ANO",1,0)</f>
        <v>0</v>
      </c>
      <c r="CI18" s="6"/>
      <c r="CJ18" s="6" t="s">
        <v>68</v>
      </c>
      <c r="CK18" s="6" t="s">
        <v>69</v>
      </c>
      <c r="CL18" s="6" t="s">
        <v>70</v>
      </c>
      <c r="CM18" s="6" t="s">
        <v>71</v>
      </c>
      <c r="CN18" s="6" t="s">
        <v>72</v>
      </c>
      <c r="CO18" s="6" t="s">
        <v>73</v>
      </c>
      <c r="CP18" s="6" t="s">
        <v>74</v>
      </c>
      <c r="CQ18" s="6"/>
      <c r="CR18" s="6"/>
      <c r="CS18" s="6"/>
      <c r="CT18" s="6" t="s">
        <v>76</v>
      </c>
      <c r="CU18" s="6"/>
      <c r="CV18" s="6"/>
      <c r="CW18" s="6"/>
      <c r="CX18" s="6"/>
      <c r="DP18" s="1">
        <f>SUM(DP20:DP103)</f>
        <v>0</v>
      </c>
      <c r="DQ18" s="1">
        <f>SUM(DQ20:DQ103)</f>
        <v>0</v>
      </c>
      <c r="DR18" s="1">
        <f>SUM(DR20:DR103)</f>
        <v>0</v>
      </c>
    </row>
    <row r="19" spans="1:125" ht="16.5" thickBot="1" x14ac:dyDescent="0.3">
      <c r="A19" s="30"/>
      <c r="B19" s="114"/>
      <c r="C19" s="137">
        <f t="shared" ref="C19:I19" si="2">SUM(C20:C100)</f>
        <v>57</v>
      </c>
      <c r="D19" s="137">
        <f t="shared" si="2"/>
        <v>193</v>
      </c>
      <c r="E19" s="137">
        <f t="shared" si="2"/>
        <v>0</v>
      </c>
      <c r="F19" s="137">
        <f t="shared" si="2"/>
        <v>39</v>
      </c>
      <c r="G19" s="137">
        <f t="shared" si="2"/>
        <v>0</v>
      </c>
      <c r="H19" s="110">
        <f t="shared" si="2"/>
        <v>2</v>
      </c>
      <c r="I19" s="110">
        <f t="shared" si="2"/>
        <v>0</v>
      </c>
      <c r="J19" s="316"/>
      <c r="K19" s="317"/>
      <c r="L19" s="318"/>
      <c r="M19" s="319"/>
      <c r="N19" s="309"/>
      <c r="O19" s="310"/>
      <c r="P19" s="310"/>
      <c r="Q19" s="310"/>
      <c r="R19" s="310"/>
      <c r="S19" s="311"/>
      <c r="T19" s="289"/>
      <c r="U19" s="289"/>
      <c r="V19" s="289"/>
      <c r="W19" s="139"/>
      <c r="X19" s="85"/>
      <c r="Y19" s="85"/>
      <c r="Z19" s="85">
        <f>SUM(Z20:Z100)</f>
        <v>50</v>
      </c>
      <c r="AA19" s="133"/>
      <c r="AB19" s="134"/>
      <c r="AC19" s="59"/>
      <c r="AD19" s="7"/>
      <c r="AE19" s="104"/>
      <c r="AF19" s="257"/>
      <c r="AG19" s="105">
        <f>SUM(AG20:AG100)*1.07</f>
        <v>1126.8170000000005</v>
      </c>
      <c r="AH19" s="105">
        <f>SUM(AH20:AH100)*1.07</f>
        <v>814.58030000000008</v>
      </c>
      <c r="AI19" s="106"/>
      <c r="AJ19" s="305">
        <f>SUM(AJ20:AJ100)*1.07</f>
        <v>2463.8890000000006</v>
      </c>
      <c r="AK19" s="107"/>
      <c r="AL19" s="108"/>
      <c r="AM19" s="105">
        <f>SUM(AM20:AM100)*1.07</f>
        <v>2467.6781995599999</v>
      </c>
      <c r="AN19" s="109">
        <f>SUM(AN20:AN100)*1.07</f>
        <v>436.06421977999963</v>
      </c>
      <c r="AO19" s="206"/>
      <c r="AP19" s="202">
        <f>SUM(AP20:AP100)*1.07</f>
        <v>72.476274520000061</v>
      </c>
      <c r="AQ19" s="202"/>
      <c r="AR19" s="202">
        <f>SUM(AR20:AR100)*1.07</f>
        <v>334.7709000000001</v>
      </c>
      <c r="AS19" s="109"/>
      <c r="AT19" s="196">
        <f>SUM(AT20:AT100)*1.07</f>
        <v>25.68</v>
      </c>
      <c r="AU19" s="215">
        <f>SUM(AU20:AU100)*1.07</f>
        <v>489.42869999999988</v>
      </c>
      <c r="AV19" s="216">
        <f>SUM(AV20:AV100)*1.07</f>
        <v>66.095414477999995</v>
      </c>
      <c r="AW19" s="217"/>
      <c r="AX19" s="218"/>
      <c r="AY19" s="218"/>
      <c r="AZ19" s="218"/>
      <c r="BA19" s="219">
        <f>SUM(BA20:BA100)*1.07</f>
        <v>1327.2248841600003</v>
      </c>
      <c r="BB19" s="246">
        <f>CEILING(SUM(BB20:BB100)*1.1,1)</f>
        <v>1212</v>
      </c>
      <c r="BC19" s="246">
        <f>CEILING(SUM(BC20:BC100)*1.1,1)</f>
        <v>466</v>
      </c>
      <c r="BD19" s="246">
        <f>CEILING(SUM(BD20:BD100)*1.1,1)</f>
        <v>28</v>
      </c>
      <c r="BE19" s="248">
        <f>CEILING(SUM(BE20:BE104)*1.1,1)</f>
        <v>798</v>
      </c>
      <c r="BF19" s="226"/>
      <c r="BG19" s="226"/>
      <c r="BH19" s="226"/>
      <c r="BI19" s="226">
        <f>CEILING(SUM(BI20:BI104)*1.25,1)</f>
        <v>6210</v>
      </c>
      <c r="BJ19" s="226"/>
      <c r="BK19" s="226">
        <f>CEILING(SUM(BK20:BK104)*1.1,1)</f>
        <v>273</v>
      </c>
      <c r="BL19" s="3"/>
      <c r="BM19" s="3"/>
      <c r="BN19" s="3"/>
      <c r="BO19" s="33">
        <f>SUM(BO20:BO101)</f>
        <v>0</v>
      </c>
      <c r="BP19" s="33">
        <f>SUM(BP20:BP100)</f>
        <v>4</v>
      </c>
      <c r="BQ19" s="33">
        <f>SUM(BQ20:BQ100)</f>
        <v>18</v>
      </c>
      <c r="BR19" s="33">
        <f>SUM(BR20:BR100)</f>
        <v>4</v>
      </c>
      <c r="BS19" s="33">
        <f>SUM(BS20:BS100)</f>
        <v>7</v>
      </c>
      <c r="BT19" s="33"/>
      <c r="BU19" s="33">
        <f t="shared" ref="BU19:BZ19" si="3">SUM(BU20:BU100)</f>
        <v>14</v>
      </c>
      <c r="BV19" s="33">
        <f t="shared" si="3"/>
        <v>9</v>
      </c>
      <c r="BW19" s="33">
        <f t="shared" si="3"/>
        <v>4</v>
      </c>
      <c r="BX19" s="33">
        <f t="shared" si="3"/>
        <v>1</v>
      </c>
      <c r="BY19" s="33">
        <f t="shared" si="3"/>
        <v>1</v>
      </c>
      <c r="BZ19" s="33">
        <f t="shared" si="3"/>
        <v>0</v>
      </c>
      <c r="CA19" s="33"/>
      <c r="CB19" s="33">
        <f>SUM(CB20:CB100)</f>
        <v>0</v>
      </c>
      <c r="CC19" s="33">
        <f>SUM(CC20:CC100)</f>
        <v>0</v>
      </c>
      <c r="CD19" s="33">
        <f>SUM(CD20:CD100)</f>
        <v>0</v>
      </c>
      <c r="CE19" s="33">
        <f>SUM(CE20:CE100)</f>
        <v>0</v>
      </c>
      <c r="CF19" s="33">
        <f>SUM(CF20:CF100)</f>
        <v>0</v>
      </c>
      <c r="CG19" s="3"/>
      <c r="CH19" s="3"/>
      <c r="CI19" s="6"/>
      <c r="CJ19" s="6"/>
      <c r="CK19" s="6"/>
      <c r="CL19" s="6"/>
      <c r="CM19" s="6"/>
      <c r="CN19" s="6"/>
      <c r="CO19" s="6">
        <f>SUM(CO20:CO100)</f>
        <v>2872.9278949803856</v>
      </c>
      <c r="CP19" s="6">
        <f>SUM(CP20:CP100)</f>
        <v>1721.0978787831273</v>
      </c>
      <c r="CQ19" s="6"/>
      <c r="CR19" s="6"/>
      <c r="CS19" s="6"/>
      <c r="CT19" s="6">
        <f>SUM(CT20:CT100)</f>
        <v>1062.5773964831278</v>
      </c>
      <c r="CU19" s="6">
        <f>SUM(CU20:CU100)</f>
        <v>1096.5736875831271</v>
      </c>
      <c r="CV19" s="6"/>
      <c r="CW19" s="6"/>
      <c r="CX19" s="6"/>
      <c r="DP19" s="1"/>
      <c r="DQ19" s="1"/>
      <c r="DR19" s="1"/>
    </row>
    <row r="20" spans="1:125" ht="17.25" x14ac:dyDescent="0.3">
      <c r="A20" s="103">
        <f t="shared" ref="A20:A100" si="4">N20*O20</f>
        <v>0</v>
      </c>
      <c r="B20" s="136"/>
      <c r="C20" s="53"/>
      <c r="D20" s="179"/>
      <c r="E20" s="103"/>
      <c r="F20" s="136"/>
      <c r="G20" s="136"/>
      <c r="H20" s="136"/>
      <c r="I20" s="168"/>
      <c r="J20" s="140"/>
      <c r="K20" s="322"/>
      <c r="L20" s="78"/>
      <c r="M20" s="119"/>
      <c r="N20" s="115"/>
      <c r="O20" s="78"/>
      <c r="P20" s="78"/>
      <c r="Q20" s="78"/>
      <c r="R20" s="78"/>
      <c r="S20" s="191"/>
      <c r="T20" s="290"/>
      <c r="U20" s="290"/>
      <c r="V20" s="290"/>
      <c r="W20" s="50"/>
      <c r="X20" s="125"/>
      <c r="Y20" s="14"/>
      <c r="Z20" s="14"/>
      <c r="AA20" s="14"/>
      <c r="AB20" s="180"/>
      <c r="AC20" s="259">
        <f t="shared" ref="AC20:AC51" si="5">J20</f>
        <v>0</v>
      </c>
      <c r="AD20" s="261"/>
      <c r="AE20" s="200"/>
      <c r="AF20" s="200"/>
      <c r="AG20" s="50">
        <f t="shared" ref="AG20:AG36" si="6">IF(AE20="ano",(N20*O20+O20*P20+N20+P20)*2,0)</f>
        <v>0</v>
      </c>
      <c r="AH20" s="50"/>
      <c r="AI20" s="102">
        <f>AE20</f>
        <v>0</v>
      </c>
      <c r="AJ20" s="306">
        <f t="shared" ref="AJ20:AJ22" si="7">IF(AI20="ano",(N20*O20+O20*P20+N20+P20)*4,0)</f>
        <v>0</v>
      </c>
      <c r="AL20" s="53"/>
      <c r="AM20" s="25">
        <f t="shared" ref="AM20:AM35" si="8">IF(AL20="ano",2*((N20*P20+O20*P20)*2+N20*O20),0)</f>
        <v>0</v>
      </c>
      <c r="AN20" s="56">
        <f>AY20</f>
        <v>0</v>
      </c>
      <c r="AO20" s="207"/>
      <c r="AP20" s="194"/>
      <c r="AQ20" s="208"/>
      <c r="AR20" s="203"/>
      <c r="AS20" s="189"/>
      <c r="AT20" s="197">
        <f t="shared" ref="AT20:AT51" si="9">(M20*1.5)</f>
        <v>0</v>
      </c>
      <c r="AU20" s="190">
        <f t="shared" ref="AU20:AU35" si="10">K20*AY20*1.2</f>
        <v>0</v>
      </c>
      <c r="AV20" s="191">
        <f t="shared" ref="AV20:AV35" si="11">(K20+M20)*IF(K20=1,AY20*0.15,IF(K20=0,AY20*0.1,0))</f>
        <v>0</v>
      </c>
      <c r="AW20" s="179"/>
      <c r="AX20" s="103">
        <f t="shared" ref="AX20:AX51" si="12">(K20+M20)*IF(K20=1,1.2,IF(K20=0,0.7,0))</f>
        <v>0</v>
      </c>
      <c r="AY20" s="201">
        <f t="shared" ref="AY20:AY35" si="13">(N20+AX20)*(O20+AX20)</f>
        <v>0</v>
      </c>
      <c r="AZ20" s="201">
        <v>0</v>
      </c>
      <c r="BA20" s="201">
        <f>AY20*(P20+R20+0.3)</f>
        <v>0</v>
      </c>
      <c r="BB20" s="113">
        <f>CEILING(6*IF(K20=0,0,IF(AA20="nástupiště",0,2*N20+2.4+2*O20))*(P20+R20),1)</f>
        <v>0</v>
      </c>
      <c r="BC20" s="113">
        <f>CEILING(6*IF(L20=0,0,IF(AB20="nástupiště",0,2*O20+2.4+2*P20))*(Q20+S20),1)</f>
        <v>0</v>
      </c>
      <c r="BD20" s="269"/>
      <c r="BE20" s="227"/>
      <c r="BF20" s="26"/>
      <c r="BG20" s="26"/>
      <c r="BH20" s="115"/>
      <c r="BI20" s="78">
        <f>BF20*BH20*15</f>
        <v>0</v>
      </c>
      <c r="BJ20" s="79"/>
      <c r="BK20" s="183">
        <f>BI20*0.04</f>
        <v>0</v>
      </c>
      <c r="BL20" s="3">
        <f t="shared" ref="BL20:BL29" si="14">IF(AE20="ANO",1,0)</f>
        <v>0</v>
      </c>
      <c r="BM20" s="3">
        <f t="shared" ref="BM20:BM29" si="15">IF(AI20="ANO",1,0)</f>
        <v>0</v>
      </c>
      <c r="BN20" s="10">
        <f t="shared" ref="BN20:BN35" si="16">K20-(BU20+BV20+BW20+BX20+BY20)</f>
        <v>0</v>
      </c>
      <c r="BO20" s="3">
        <f t="shared" ref="BO20:BO35" si="17">K20*IF(S20&lt;5,1,0)</f>
        <v>0</v>
      </c>
      <c r="BP20" s="3">
        <f t="shared" ref="BP20:BP35" si="18">K20*IF(S20&lt;10.001,IF(S20&gt;5,1,0),0)</f>
        <v>0</v>
      </c>
      <c r="BQ20" s="3">
        <f t="shared" ref="BQ20:BQ35" si="19">K20*IF(S20&lt;15.001,IF(S20&gt;10,1,0),0)</f>
        <v>0</v>
      </c>
      <c r="BR20" s="3">
        <f t="shared" ref="BR20:BR35" si="20">K20*IF(S20&lt;20.001,IF(S20&gt;15,1,0),0)</f>
        <v>0</v>
      </c>
      <c r="BS20" s="3">
        <f t="shared" ref="BS20:BS35" si="21">K20*IF(S20&gt;20,1,0)</f>
        <v>0</v>
      </c>
      <c r="BT20" s="3"/>
      <c r="BU20" s="3">
        <f t="shared" ref="BU20:BU35" si="22">K20*IF(A20&lt;4.501,IF(A20&gt;2.5,1,0),0)</f>
        <v>0</v>
      </c>
      <c r="BV20" s="3">
        <f t="shared" ref="BV20:BV35" si="23">K20*IF(A20&lt;5.501,IF(A20&gt;4.5001,1,0),0)</f>
        <v>0</v>
      </c>
      <c r="BW20" s="3">
        <f t="shared" ref="BW20:BW35" si="24">K20*IF(A20&lt;6.501,IF(A20&gt;5.5001,1,0),0)</f>
        <v>0</v>
      </c>
      <c r="BX20" s="3">
        <f t="shared" ref="BX20:BX35" si="25">K20*IF(A20&lt;7.501,IF(A20&gt;6.5001,1,0),0)</f>
        <v>0</v>
      </c>
      <c r="BY20" s="3">
        <f t="shared" ref="BY20:BY35" si="26">K20*IF(A20&gt;7.501,1,0)</f>
        <v>0</v>
      </c>
      <c r="BZ20" s="3">
        <f t="shared" ref="BZ20:BZ35" si="27">M20*IF(A20=1.352,1,0)</f>
        <v>0</v>
      </c>
      <c r="CA20" s="3">
        <f t="shared" ref="CA20:CA35" si="28">M20*P20</f>
        <v>0</v>
      </c>
      <c r="CB20" s="3">
        <f t="shared" ref="CB20:CB35" si="29">M20*IF(A20=1.859,1,0)</f>
        <v>0</v>
      </c>
      <c r="CC20" s="3">
        <f t="shared" ref="CC20:CC35" si="30">M20*IF(A20=1.54,1,0)</f>
        <v>0</v>
      </c>
      <c r="CD20" s="3">
        <f t="shared" ref="CD20:CD35" si="31">M20*IF(A20=1.12,1,0)</f>
        <v>0</v>
      </c>
      <c r="CE20" s="3">
        <f t="shared" ref="CE20:CE35" si="32">M20*IF(A20=(0.55*0.715),1,0)</f>
        <v>0</v>
      </c>
      <c r="CF20" s="3">
        <f t="shared" ref="CF20:CF35" si="33">M20*IF(A20=(1.02*0.715),1,0)</f>
        <v>0</v>
      </c>
      <c r="CG20" s="3">
        <f t="shared" ref="CG20:CG29" si="34">IF(AL20="ANO",1,0)</f>
        <v>0</v>
      </c>
      <c r="CH20" s="3">
        <f t="shared" ref="CH20:CH29" si="35">IF(AO20="ANO",1,0)</f>
        <v>0</v>
      </c>
      <c r="CI20" s="3"/>
      <c r="CJ20" s="3">
        <f t="shared" ref="CJ20:CJ35" si="36">(N20+1.6)*(O20+1.6)*(K20+M20)</f>
        <v>0</v>
      </c>
      <c r="CK20" s="3">
        <f t="shared" ref="CK20:CK35" si="37">(N20+1.6+2)*(O20+1.6+2)</f>
        <v>12.96</v>
      </c>
      <c r="CL20" s="3">
        <f>CJ20*CK20</f>
        <v>0</v>
      </c>
      <c r="CM20" s="3">
        <f>SQRT(CL20)</f>
        <v>0</v>
      </c>
      <c r="CN20" s="10">
        <f t="shared" ref="CN20:CN35" si="38">(P20+R20)</f>
        <v>0</v>
      </c>
      <c r="CO20" s="3">
        <f t="shared" ref="CO20:CO35" si="39">(K20+M20)*(CN20/3)*(CJ20+CK20+CM20)</f>
        <v>0</v>
      </c>
      <c r="CP20" s="3">
        <f>CO20*CQ20</f>
        <v>0</v>
      </c>
      <c r="CQ20" s="3">
        <f t="shared" ref="CQ20:CQ29" si="40">IF(AA20="nástupiště",CR20,1)</f>
        <v>1</v>
      </c>
      <c r="CR20" s="3">
        <f t="shared" ref="CR20:CR51" si="41">IF(K20=1,0.5,0)</f>
        <v>0</v>
      </c>
      <c r="CS20" s="3"/>
      <c r="CT20" s="3">
        <f t="shared" ref="CT20:CT35" si="42">(CP20-((N20+0.2)*(O20+0.2)*(P20+0.1)+K20*(1.3*1*R20)))*(K20+M20)</f>
        <v>0</v>
      </c>
      <c r="CU20" s="3">
        <f>IF(CT20&gt;0,CT20,0)</f>
        <v>0</v>
      </c>
      <c r="CV20" s="3"/>
      <c r="CW20" s="3"/>
      <c r="CX20" s="3"/>
      <c r="DD20">
        <f t="shared" ref="DD20:DD29" si="43">(N20+0.5+AE20/1.5)*(O20+0.9+AE20/1.5)*(P20+0.1-AE20)</f>
        <v>4.5000000000000005E-2</v>
      </c>
      <c r="DE20">
        <f t="shared" ref="DE20:DE29" si="44">(N20+0.5+(0.35*AE20))*(O20+0.9+(0.35*AE20))*AE20</f>
        <v>0</v>
      </c>
      <c r="DF20">
        <f t="shared" ref="DF20:DF29" si="45">K20*((2*N20*(P20-AC20))+(2*O20*(P20-AC20))+(N20+0.25)*(O20+0.25))</f>
        <v>0</v>
      </c>
      <c r="DG20">
        <f t="shared" ref="DG20:DG29" si="46">((N20*O20*(P20-R20)-((N20-Q20*2)*(O20-Q20*2)*(P20-Q20*2))+((R20*1.1*1.4)-(R20*0.6*0.9)))*K20)</f>
        <v>0</v>
      </c>
      <c r="DH20">
        <f t="shared" ref="DH20:DH29" si="47">(2*N20*O20+2*N20*P20+2*O20*P20)+(2*R20*1.1+2*R20*1.4)</f>
        <v>0</v>
      </c>
      <c r="DI20">
        <f t="shared" ref="DI20:DI29" si="48">2*(2*N20*O20+2*N20*P20+2*O20*P20)*7850*2*(0.003*0.003*3.14)*(1000/150)</f>
        <v>0</v>
      </c>
      <c r="DJ20">
        <f t="shared" ref="DJ20:DJ29" si="49">2*(2*N20*O20+2*N20*P20+2*O20*P20)*7850*2*(0.003*0.003*3.14)*(1000/100)</f>
        <v>0</v>
      </c>
      <c r="DK20">
        <f t="shared" ref="DK20:DK29" si="50">2*(2*N20*O20+2*N20*P20+2*O20*P20)*7850*2*(0.004*0.004*3.14)*(1000/100)</f>
        <v>0</v>
      </c>
      <c r="DN20">
        <f t="shared" ref="DN20:DN29" si="51">2*(2*N20*O20+2*N20*P20+2*O20*P20)*7850*2*(0.006*0.006*3.14)*(1000/150)</f>
        <v>0</v>
      </c>
      <c r="DP20">
        <f t="shared" ref="DP20:DP29" si="52">IF(K20=0,0,(N20+0.9)*(O20+1.1))*IF(AI20=1,7850*(0.003*0.003*3.14)*(1000/150),0)</f>
        <v>0</v>
      </c>
      <c r="DQ20">
        <f t="shared" ref="DQ20:DQ29" si="53">IF(K20=0,0,(N20+0.9)*(O20+1.1))*IF(AI20=2,7850*(0.003*0.003*3.14)*(1000/100),0)</f>
        <v>0</v>
      </c>
      <c r="DR20">
        <f t="shared" ref="DR20:DR29" si="54">IF(K20=0,0,(N20+0.9)*(O20+1.1))*IF(AI20=3,7850*(0.004*0.004*3.14)*(1000/100),0)</f>
        <v>0</v>
      </c>
      <c r="DU20">
        <f t="shared" ref="DU20:DU29" si="55">(N20+0.6+0.6+(0.25*AE20))*(O20+0.6+0.6+(0.25*AE20))*AE20</f>
        <v>0</v>
      </c>
    </row>
    <row r="21" spans="1:125" ht="17.25" x14ac:dyDescent="0.3">
      <c r="A21" s="72">
        <f t="shared" si="4"/>
        <v>0</v>
      </c>
      <c r="B21" s="113"/>
      <c r="C21" s="28"/>
      <c r="D21" s="118"/>
      <c r="E21" s="72"/>
      <c r="F21" s="113"/>
      <c r="G21" s="113"/>
      <c r="H21" s="113"/>
      <c r="I21" s="313"/>
      <c r="J21" s="142"/>
      <c r="K21" s="124"/>
      <c r="L21" s="72"/>
      <c r="M21" s="27"/>
      <c r="N21" s="118"/>
      <c r="O21" s="72"/>
      <c r="P21" s="72"/>
      <c r="Q21" s="72"/>
      <c r="R21" s="72"/>
      <c r="S21" s="222"/>
      <c r="T21" s="290"/>
      <c r="U21" s="290"/>
      <c r="V21" s="290"/>
      <c r="W21" s="48"/>
      <c r="X21" s="125"/>
      <c r="Y21" s="14"/>
      <c r="Z21" s="16"/>
      <c r="AA21" s="16"/>
      <c r="AB21" s="181"/>
      <c r="AC21" s="260">
        <f t="shared" si="5"/>
        <v>0</v>
      </c>
      <c r="AD21" s="262"/>
      <c r="AE21" s="24"/>
      <c r="AF21" s="258"/>
      <c r="AG21" s="48">
        <f t="shared" si="6"/>
        <v>0</v>
      </c>
      <c r="AH21" s="50"/>
      <c r="AI21" s="102">
        <f t="shared" ref="AI21:AI82" si="56">AE21</f>
        <v>0</v>
      </c>
      <c r="AJ21" s="307">
        <f t="shared" si="7"/>
        <v>0</v>
      </c>
      <c r="AL21" s="28"/>
      <c r="AM21" s="25">
        <f t="shared" si="8"/>
        <v>0</v>
      </c>
      <c r="AN21" s="56">
        <f t="shared" ref="AN21:AN35" si="57">AY21</f>
        <v>0</v>
      </c>
      <c r="AO21" s="209"/>
      <c r="AP21" s="194"/>
      <c r="AQ21" s="208"/>
      <c r="AR21" s="203">
        <f t="shared" ref="AR21:AR35" si="58">IF(AQ21="ano",K21*(N21*O21+2*N21*P21+2*O21*P21),0)</f>
        <v>0</v>
      </c>
      <c r="AS21" s="189"/>
      <c r="AT21" s="198">
        <f t="shared" si="9"/>
        <v>0</v>
      </c>
      <c r="AU21" s="199">
        <f t="shared" si="10"/>
        <v>0</v>
      </c>
      <c r="AV21" s="222">
        <f t="shared" si="11"/>
        <v>0</v>
      </c>
      <c r="AW21" s="118"/>
      <c r="AX21" s="103">
        <f t="shared" si="12"/>
        <v>0</v>
      </c>
      <c r="AY21" s="192">
        <f t="shared" si="13"/>
        <v>0</v>
      </c>
      <c r="AZ21" s="192">
        <v>0</v>
      </c>
      <c r="BA21" s="192">
        <f>AY21*(P21+R21+0.3)</f>
        <v>0</v>
      </c>
      <c r="BB21" s="113">
        <f>IF((P21+R21)&gt;3,6*2*((N21+2.4)+(O21+2.4)),0)</f>
        <v>0</v>
      </c>
      <c r="BC21" s="113">
        <f t="shared" ref="BC21:BC35" si="59">IF(AA21="nástupiště",IF((P21+R21)&gt;2.5,2*((N21+2.4)+(O21+2.4)),0),0)</f>
        <v>0</v>
      </c>
      <c r="BD21" s="270"/>
      <c r="BE21" s="228">
        <f t="shared" ref="BE21:BE35" si="60">IF(AA21="terén",BA21-(AV21+N21*O21*P21),IF(AA21="nástupiště",AY21*P21-(AV21+N21*O21*P21),0))</f>
        <v>0</v>
      </c>
      <c r="BF21" s="268">
        <v>0</v>
      </c>
      <c r="BG21" s="268">
        <f>BF21*CEILING(IF(L21=0,0,O21-0.8),1)</f>
        <v>0</v>
      </c>
      <c r="BH21" s="118"/>
      <c r="BI21" s="72">
        <f>BF21*BH21*15</f>
        <v>0</v>
      </c>
      <c r="BJ21" s="73"/>
      <c r="BK21" s="230">
        <f t="shared" ref="BK21:BK22" si="61">BG21*BH21*0.5</f>
        <v>0</v>
      </c>
      <c r="BL21" s="3">
        <f t="shared" si="14"/>
        <v>0</v>
      </c>
      <c r="BM21" s="3">
        <f t="shared" si="15"/>
        <v>0</v>
      </c>
      <c r="BN21" s="10">
        <f t="shared" si="16"/>
        <v>0</v>
      </c>
      <c r="BO21" s="3">
        <f t="shared" si="17"/>
        <v>0</v>
      </c>
      <c r="BP21" s="3">
        <f t="shared" si="18"/>
        <v>0</v>
      </c>
      <c r="BQ21" s="3">
        <f t="shared" si="19"/>
        <v>0</v>
      </c>
      <c r="BR21" s="3">
        <f t="shared" si="20"/>
        <v>0</v>
      </c>
      <c r="BS21" s="3">
        <f t="shared" si="21"/>
        <v>0</v>
      </c>
      <c r="BT21" s="3"/>
      <c r="BU21" s="3">
        <f t="shared" si="22"/>
        <v>0</v>
      </c>
      <c r="BV21" s="3">
        <f t="shared" si="23"/>
        <v>0</v>
      </c>
      <c r="BW21" s="3">
        <f t="shared" si="24"/>
        <v>0</v>
      </c>
      <c r="BX21" s="3">
        <f t="shared" si="25"/>
        <v>0</v>
      </c>
      <c r="BY21" s="3">
        <f t="shared" si="26"/>
        <v>0</v>
      </c>
      <c r="BZ21" s="3">
        <f t="shared" si="27"/>
        <v>0</v>
      </c>
      <c r="CA21" s="3">
        <f t="shared" si="28"/>
        <v>0</v>
      </c>
      <c r="CB21" s="3">
        <f t="shared" si="29"/>
        <v>0</v>
      </c>
      <c r="CC21" s="3">
        <f t="shared" si="30"/>
        <v>0</v>
      </c>
      <c r="CD21" s="3">
        <f t="shared" si="31"/>
        <v>0</v>
      </c>
      <c r="CE21" s="3">
        <f t="shared" si="32"/>
        <v>0</v>
      </c>
      <c r="CF21" s="3">
        <f t="shared" si="33"/>
        <v>0</v>
      </c>
      <c r="CG21" s="3">
        <f t="shared" si="34"/>
        <v>0</v>
      </c>
      <c r="CH21" s="3">
        <f t="shared" si="35"/>
        <v>0</v>
      </c>
      <c r="CI21" s="3"/>
      <c r="CJ21" s="3">
        <f t="shared" si="36"/>
        <v>0</v>
      </c>
      <c r="CK21" s="3">
        <f t="shared" si="37"/>
        <v>12.96</v>
      </c>
      <c r="CL21" s="3">
        <f t="shared" ref="CL21:CL103" si="62">CJ21*CK21</f>
        <v>0</v>
      </c>
      <c r="CM21" s="3">
        <f t="shared" ref="CM21:CM103" si="63">SQRT(CL21)</f>
        <v>0</v>
      </c>
      <c r="CN21" s="10">
        <f t="shared" si="38"/>
        <v>0</v>
      </c>
      <c r="CO21" s="3">
        <f t="shared" si="39"/>
        <v>0</v>
      </c>
      <c r="CP21" s="3">
        <f t="shared" ref="CP21:CP29" si="64">CO21*CQ21</f>
        <v>0</v>
      </c>
      <c r="CQ21" s="3">
        <f t="shared" si="40"/>
        <v>1</v>
      </c>
      <c r="CR21" s="3">
        <f t="shared" si="41"/>
        <v>0</v>
      </c>
      <c r="CS21" s="3"/>
      <c r="CT21" s="3">
        <f t="shared" si="42"/>
        <v>0</v>
      </c>
      <c r="CU21" s="3">
        <f t="shared" ref="CU21:CU29" si="65">IF(CT21&gt;0,CT21,0)</f>
        <v>0</v>
      </c>
      <c r="CV21" s="3"/>
      <c r="CW21" s="3"/>
      <c r="CX21" s="3"/>
      <c r="DD21">
        <f t="shared" si="43"/>
        <v>4.5000000000000005E-2</v>
      </c>
      <c r="DE21">
        <f t="shared" si="44"/>
        <v>0</v>
      </c>
      <c r="DF21">
        <f t="shared" si="45"/>
        <v>0</v>
      </c>
      <c r="DG21">
        <f t="shared" si="46"/>
        <v>0</v>
      </c>
      <c r="DH21">
        <f t="shared" si="47"/>
        <v>0</v>
      </c>
      <c r="DI21">
        <f t="shared" si="48"/>
        <v>0</v>
      </c>
      <c r="DJ21">
        <f t="shared" si="49"/>
        <v>0</v>
      </c>
      <c r="DK21">
        <f t="shared" si="50"/>
        <v>0</v>
      </c>
      <c r="DL21">
        <f t="shared" ref="DL21:DL29" si="66">(N21+1.5)*(P21+R21)+(O21+1.8)*(P21+R21)</f>
        <v>0</v>
      </c>
      <c r="DN21">
        <f t="shared" si="51"/>
        <v>0</v>
      </c>
      <c r="DP21">
        <f t="shared" si="52"/>
        <v>0</v>
      </c>
      <c r="DQ21">
        <f t="shared" si="53"/>
        <v>0</v>
      </c>
      <c r="DR21">
        <f t="shared" si="54"/>
        <v>0</v>
      </c>
      <c r="DU21">
        <f t="shared" si="55"/>
        <v>0</v>
      </c>
    </row>
    <row r="22" spans="1:125" ht="17.25" x14ac:dyDescent="0.3">
      <c r="A22" s="72">
        <f t="shared" si="4"/>
        <v>0</v>
      </c>
      <c r="B22" s="113"/>
      <c r="C22" s="28"/>
      <c r="D22" s="408">
        <v>1</v>
      </c>
      <c r="E22" s="72"/>
      <c r="F22" s="113">
        <v>1</v>
      </c>
      <c r="G22" s="113"/>
      <c r="H22" s="113"/>
      <c r="I22" s="313"/>
      <c r="J22" s="142" t="s">
        <v>310</v>
      </c>
      <c r="K22" s="124"/>
      <c r="L22" s="72"/>
      <c r="M22" s="27"/>
      <c r="N22" s="118"/>
      <c r="O22" s="72"/>
      <c r="P22" s="72"/>
      <c r="Q22" s="72"/>
      <c r="R22" s="72"/>
      <c r="S22" s="222"/>
      <c r="T22" s="290"/>
      <c r="U22" s="290"/>
      <c r="V22" s="290"/>
      <c r="W22" s="48"/>
      <c r="X22" s="125"/>
      <c r="Y22" s="14"/>
      <c r="Z22" s="16"/>
      <c r="AA22" s="16"/>
      <c r="AB22" s="181"/>
      <c r="AC22" s="260" t="str">
        <f t="shared" si="5"/>
        <v>Š05</v>
      </c>
      <c r="AD22" s="262"/>
      <c r="AE22" s="24"/>
      <c r="AF22" s="258"/>
      <c r="AG22" s="48">
        <f t="shared" si="6"/>
        <v>0</v>
      </c>
      <c r="AH22" s="50"/>
      <c r="AI22" s="102">
        <f t="shared" si="56"/>
        <v>0</v>
      </c>
      <c r="AJ22" s="307">
        <f t="shared" si="7"/>
        <v>0</v>
      </c>
      <c r="AL22" s="28"/>
      <c r="AM22" s="25">
        <f t="shared" si="8"/>
        <v>0</v>
      </c>
      <c r="AN22" s="56">
        <f t="shared" si="57"/>
        <v>0</v>
      </c>
      <c r="AO22" s="209"/>
      <c r="AP22" s="194"/>
      <c r="AQ22" s="208"/>
      <c r="AR22" s="203">
        <f t="shared" si="58"/>
        <v>0</v>
      </c>
      <c r="AS22" s="189"/>
      <c r="AT22" s="198">
        <f t="shared" si="9"/>
        <v>0</v>
      </c>
      <c r="AU22" s="199">
        <f t="shared" si="10"/>
        <v>0</v>
      </c>
      <c r="AV22" s="222">
        <f t="shared" si="11"/>
        <v>0</v>
      </c>
      <c r="AW22" s="118"/>
      <c r="AX22" s="103">
        <f t="shared" si="12"/>
        <v>0</v>
      </c>
      <c r="AY22" s="192">
        <f t="shared" si="13"/>
        <v>0</v>
      </c>
      <c r="AZ22" s="192">
        <v>0</v>
      </c>
      <c r="BA22" s="192">
        <f>AY22*(P22+R22+0.3)</f>
        <v>0</v>
      </c>
      <c r="BB22" s="113">
        <f>IF((P22+R22)&gt;3,6*2*((N22+2.4)+(O22+2.4)),0)</f>
        <v>0</v>
      </c>
      <c r="BC22" s="113">
        <f t="shared" si="59"/>
        <v>0</v>
      </c>
      <c r="BD22" s="270">
        <f t="shared" ref="BD22:BD35" si="67">IF((BB22+BC22)&gt;0.01,0,IF(AA21="nástupiště",0.25*((N22+2*AX22)+(O22+2*AX22)),2*((N22+2*AX22)+(O22+2*AX22))))</f>
        <v>0</v>
      </c>
      <c r="BE22" s="228">
        <f t="shared" si="60"/>
        <v>0</v>
      </c>
      <c r="BF22" s="268">
        <v>0</v>
      </c>
      <c r="BG22" s="268">
        <f>BF22*CEILING(IF(L22=0,0,O22-0.8),1)</f>
        <v>0</v>
      </c>
      <c r="BH22" s="118"/>
      <c r="BI22" s="72">
        <f t="shared" ref="BI22:BI82" si="68">BF22*BH22*15</f>
        <v>0</v>
      </c>
      <c r="BJ22" s="73"/>
      <c r="BK22" s="230">
        <f t="shared" si="61"/>
        <v>0</v>
      </c>
      <c r="BL22" s="3">
        <f t="shared" si="14"/>
        <v>0</v>
      </c>
      <c r="BM22" s="3">
        <f t="shared" si="15"/>
        <v>0</v>
      </c>
      <c r="BN22" s="10">
        <f t="shared" si="16"/>
        <v>0</v>
      </c>
      <c r="BO22" s="3">
        <f t="shared" si="17"/>
        <v>0</v>
      </c>
      <c r="BP22" s="3">
        <f t="shared" si="18"/>
        <v>0</v>
      </c>
      <c r="BQ22" s="3">
        <f t="shared" si="19"/>
        <v>0</v>
      </c>
      <c r="BR22" s="3">
        <f t="shared" si="20"/>
        <v>0</v>
      </c>
      <c r="BS22" s="3">
        <f t="shared" si="21"/>
        <v>0</v>
      </c>
      <c r="BT22" s="3"/>
      <c r="BU22" s="3">
        <f t="shared" si="22"/>
        <v>0</v>
      </c>
      <c r="BV22" s="3">
        <f t="shared" si="23"/>
        <v>0</v>
      </c>
      <c r="BW22" s="3">
        <f t="shared" si="24"/>
        <v>0</v>
      </c>
      <c r="BX22" s="3">
        <f t="shared" si="25"/>
        <v>0</v>
      </c>
      <c r="BY22" s="3">
        <f t="shared" si="26"/>
        <v>0</v>
      </c>
      <c r="BZ22" s="3">
        <f t="shared" si="27"/>
        <v>0</v>
      </c>
      <c r="CA22" s="3">
        <f t="shared" si="28"/>
        <v>0</v>
      </c>
      <c r="CB22" s="3">
        <f t="shared" si="29"/>
        <v>0</v>
      </c>
      <c r="CC22" s="3">
        <f t="shared" si="30"/>
        <v>0</v>
      </c>
      <c r="CD22" s="3">
        <f t="shared" si="31"/>
        <v>0</v>
      </c>
      <c r="CE22" s="3">
        <f t="shared" si="32"/>
        <v>0</v>
      </c>
      <c r="CF22" s="3">
        <f t="shared" si="33"/>
        <v>0</v>
      </c>
      <c r="CG22" s="3">
        <f t="shared" si="34"/>
        <v>0</v>
      </c>
      <c r="CH22" s="3">
        <f t="shared" si="35"/>
        <v>0</v>
      </c>
      <c r="CI22" s="3"/>
      <c r="CJ22" s="3">
        <f t="shared" si="36"/>
        <v>0</v>
      </c>
      <c r="CK22" s="3">
        <f t="shared" si="37"/>
        <v>12.96</v>
      </c>
      <c r="CL22" s="3">
        <f t="shared" si="62"/>
        <v>0</v>
      </c>
      <c r="CM22" s="3">
        <f t="shared" si="63"/>
        <v>0</v>
      </c>
      <c r="CN22" s="10">
        <f t="shared" si="38"/>
        <v>0</v>
      </c>
      <c r="CO22" s="3">
        <f t="shared" si="39"/>
        <v>0</v>
      </c>
      <c r="CP22" s="3">
        <f t="shared" si="64"/>
        <v>0</v>
      </c>
      <c r="CQ22" s="3">
        <f t="shared" si="40"/>
        <v>1</v>
      </c>
      <c r="CR22" s="3">
        <f t="shared" si="41"/>
        <v>0</v>
      </c>
      <c r="CS22" s="3"/>
      <c r="CT22" s="3">
        <f t="shared" si="42"/>
        <v>0</v>
      </c>
      <c r="CU22" s="3">
        <f t="shared" si="65"/>
        <v>0</v>
      </c>
      <c r="CV22" s="3"/>
      <c r="CW22" s="3"/>
      <c r="CX22" s="3"/>
      <c r="DD22">
        <f t="shared" si="43"/>
        <v>4.5000000000000005E-2</v>
      </c>
      <c r="DE22">
        <f t="shared" si="44"/>
        <v>0</v>
      </c>
      <c r="DF22" t="e">
        <f t="shared" si="45"/>
        <v>#VALUE!</v>
      </c>
      <c r="DG22">
        <f t="shared" si="46"/>
        <v>0</v>
      </c>
      <c r="DH22">
        <f t="shared" si="47"/>
        <v>0</v>
      </c>
      <c r="DI22">
        <f t="shared" si="48"/>
        <v>0</v>
      </c>
      <c r="DJ22">
        <f t="shared" si="49"/>
        <v>0</v>
      </c>
      <c r="DK22">
        <f t="shared" si="50"/>
        <v>0</v>
      </c>
      <c r="DL22">
        <f t="shared" si="66"/>
        <v>0</v>
      </c>
      <c r="DN22">
        <f t="shared" si="51"/>
        <v>0</v>
      </c>
      <c r="DP22">
        <f t="shared" si="52"/>
        <v>0</v>
      </c>
      <c r="DQ22">
        <f t="shared" si="53"/>
        <v>0</v>
      </c>
      <c r="DR22">
        <f t="shared" si="54"/>
        <v>0</v>
      </c>
      <c r="DU22">
        <f t="shared" si="55"/>
        <v>0</v>
      </c>
    </row>
    <row r="23" spans="1:125" ht="17.25" x14ac:dyDescent="0.3">
      <c r="A23" s="72">
        <f t="shared" si="4"/>
        <v>4.8000000000000007</v>
      </c>
      <c r="B23" s="113"/>
      <c r="C23" s="28"/>
      <c r="D23" s="118">
        <v>6</v>
      </c>
      <c r="E23" s="72"/>
      <c r="F23" s="113">
        <v>2</v>
      </c>
      <c r="G23" s="113"/>
      <c r="H23" s="113"/>
      <c r="I23" s="314"/>
      <c r="J23" s="142" t="s">
        <v>135</v>
      </c>
      <c r="K23" s="213">
        <v>1</v>
      </c>
      <c r="L23" s="72" t="s">
        <v>195</v>
      </c>
      <c r="M23" s="27">
        <f t="shared" ref="M23:M32" si="69">IF(K23=0,1,0)</f>
        <v>0</v>
      </c>
      <c r="N23" s="118">
        <v>3</v>
      </c>
      <c r="O23" s="72">
        <v>1.6</v>
      </c>
      <c r="P23" s="72">
        <v>3.5</v>
      </c>
      <c r="Q23" s="72">
        <v>0.2</v>
      </c>
      <c r="R23" s="72">
        <v>0.3</v>
      </c>
      <c r="S23" s="222">
        <f t="shared" ref="S23:S44" si="70">(K23+M23)*N23*O23*P23</f>
        <v>16.800000000000004</v>
      </c>
      <c r="T23" s="290">
        <f>(N23*P23*Q23)*2+(O23*P23*Q23)*2</f>
        <v>6.44</v>
      </c>
      <c r="U23" s="290">
        <f>T23+(Q23*R23*1.3)*2+(Q23*R23*1)*2</f>
        <v>6.7160000000000002</v>
      </c>
      <c r="V23" s="290">
        <f>U23*255</f>
        <v>1712.5800000000002</v>
      </c>
      <c r="W23" s="48"/>
      <c r="X23" s="15" t="s">
        <v>28</v>
      </c>
      <c r="Y23" s="14" t="str">
        <f t="shared" ref="Y23:Y54" si="71">IF(M23=1,"pro pl. šachtu",IF(K23=1,"ŽB. šachta",0))</f>
        <v>ŽB. šachta</v>
      </c>
      <c r="Z23" s="16">
        <v>2</v>
      </c>
      <c r="AA23" s="16" t="s">
        <v>216</v>
      </c>
      <c r="AB23" s="181" t="s">
        <v>16</v>
      </c>
      <c r="AC23" s="260" t="str">
        <f t="shared" si="5"/>
        <v>Š06</v>
      </c>
      <c r="AD23" s="263">
        <f t="shared" ref="AD23:AD54" si="72">K23</f>
        <v>1</v>
      </c>
      <c r="AE23" s="37" t="s">
        <v>217</v>
      </c>
      <c r="AF23" s="48" t="s">
        <v>249</v>
      </c>
      <c r="AG23" s="48">
        <f t="shared" si="6"/>
        <v>33.800000000000004</v>
      </c>
      <c r="AH23" s="48">
        <f t="shared" ref="AH23:AH36" si="73">IF(AF23="ano",(N23*O23+O23*P23+N23+P23)*2,0)</f>
        <v>0</v>
      </c>
      <c r="AI23" s="24" t="s">
        <v>217</v>
      </c>
      <c r="AJ23" s="307">
        <f>IF(AI23="ano",(N23*O23+O23*P23+N23*P23)*4,0)</f>
        <v>83.600000000000009</v>
      </c>
      <c r="AK23" s="255" t="str">
        <f t="shared" ref="AK23:AK71" si="74">J23</f>
        <v>Š06</v>
      </c>
      <c r="AL23" s="28" t="s">
        <v>22</v>
      </c>
      <c r="AM23" s="25">
        <f t="shared" si="8"/>
        <v>74</v>
      </c>
      <c r="AN23" s="56">
        <f>AY23</f>
        <v>11.76</v>
      </c>
      <c r="AO23" s="251" t="s">
        <v>22</v>
      </c>
      <c r="AP23" s="194">
        <f t="shared" ref="AP23:AP36" si="75">IF(AO23="ano",IF(M23=1,2,1)*(K23+M23)*((N23+0.2)*(O23+0.2)*(P23+0.1)-N23*O23*P23),0)</f>
        <v>3.9359999999999999</v>
      </c>
      <c r="AQ23" s="208" t="s">
        <v>184</v>
      </c>
      <c r="AR23" s="203">
        <f t="shared" si="58"/>
        <v>37</v>
      </c>
      <c r="AS23" s="189"/>
      <c r="AT23" s="198">
        <f t="shared" si="9"/>
        <v>0</v>
      </c>
      <c r="AU23" s="199">
        <f t="shared" si="10"/>
        <v>14.112</v>
      </c>
      <c r="AV23" s="222">
        <f t="shared" si="11"/>
        <v>1.764</v>
      </c>
      <c r="AW23" s="118"/>
      <c r="AX23" s="103">
        <f t="shared" si="12"/>
        <v>1.2</v>
      </c>
      <c r="AY23" s="192">
        <f t="shared" si="13"/>
        <v>11.76</v>
      </c>
      <c r="AZ23" s="192">
        <v>1</v>
      </c>
      <c r="BA23" s="192">
        <f t="shared" ref="BA23:BA35" si="76">AZ23*AY23*(P23+R23+0.3)</f>
        <v>48.215999999999994</v>
      </c>
      <c r="BB23" s="113">
        <f t="shared" ref="BB23:BB35" si="77">IF(AA23="nástupiště",0,IF((P23+R23)&gt;3,6*2*((N23+2.4)+(O23+2.4)),0))</f>
        <v>112.80000000000001</v>
      </c>
      <c r="BC23" s="113">
        <f t="shared" si="59"/>
        <v>0</v>
      </c>
      <c r="BD23" s="270">
        <f t="shared" si="67"/>
        <v>0</v>
      </c>
      <c r="BE23" s="228">
        <f t="shared" si="60"/>
        <v>29.65199999999999</v>
      </c>
      <c r="BF23" s="268">
        <v>2</v>
      </c>
      <c r="BG23" s="268">
        <f>BF23*IF(K23=0,0,N23-0.8)</f>
        <v>4.4000000000000004</v>
      </c>
      <c r="BH23" s="118">
        <v>4</v>
      </c>
      <c r="BI23" s="72">
        <f>BG23*BH23*15</f>
        <v>264</v>
      </c>
      <c r="BJ23" s="256" t="str">
        <f t="shared" ref="BJ23:BJ74" si="78">AK23</f>
        <v>Š06</v>
      </c>
      <c r="BK23" s="230">
        <f>BG23*BH23*0.5</f>
        <v>8.8000000000000007</v>
      </c>
      <c r="BL23" s="3">
        <f t="shared" si="14"/>
        <v>1</v>
      </c>
      <c r="BM23" s="3">
        <f t="shared" si="15"/>
        <v>1</v>
      </c>
      <c r="BN23" s="10">
        <f t="shared" si="16"/>
        <v>0</v>
      </c>
      <c r="BO23" s="3">
        <f t="shared" si="17"/>
        <v>0</v>
      </c>
      <c r="BP23" s="3">
        <f t="shared" si="18"/>
        <v>0</v>
      </c>
      <c r="BQ23" s="3">
        <f t="shared" si="19"/>
        <v>0</v>
      </c>
      <c r="BR23" s="3">
        <f t="shared" si="20"/>
        <v>1</v>
      </c>
      <c r="BS23" s="3">
        <f t="shared" si="21"/>
        <v>0</v>
      </c>
      <c r="BT23" s="3"/>
      <c r="BU23" s="3">
        <f t="shared" si="22"/>
        <v>0</v>
      </c>
      <c r="BV23" s="3">
        <f t="shared" si="23"/>
        <v>1</v>
      </c>
      <c r="BW23" s="3">
        <f t="shared" si="24"/>
        <v>0</v>
      </c>
      <c r="BX23" s="3">
        <f t="shared" si="25"/>
        <v>0</v>
      </c>
      <c r="BY23" s="3">
        <f t="shared" si="26"/>
        <v>0</v>
      </c>
      <c r="BZ23" s="3">
        <f t="shared" si="27"/>
        <v>0</v>
      </c>
      <c r="CA23" s="3">
        <f t="shared" si="28"/>
        <v>0</v>
      </c>
      <c r="CB23" s="3">
        <f t="shared" si="29"/>
        <v>0</v>
      </c>
      <c r="CC23" s="3">
        <f t="shared" si="30"/>
        <v>0</v>
      </c>
      <c r="CD23" s="3">
        <f t="shared" si="31"/>
        <v>0</v>
      </c>
      <c r="CE23" s="3">
        <f t="shared" si="32"/>
        <v>0</v>
      </c>
      <c r="CF23" s="3">
        <f t="shared" si="33"/>
        <v>0</v>
      </c>
      <c r="CG23" s="3">
        <f t="shared" si="34"/>
        <v>1</v>
      </c>
      <c r="CH23" s="3">
        <f t="shared" si="35"/>
        <v>1</v>
      </c>
      <c r="CI23" s="3"/>
      <c r="CJ23" s="3">
        <f t="shared" si="36"/>
        <v>14.719999999999999</v>
      </c>
      <c r="CK23" s="3">
        <f t="shared" si="37"/>
        <v>34.32</v>
      </c>
      <c r="CL23" s="3">
        <f t="shared" si="62"/>
        <v>505.19039999999995</v>
      </c>
      <c r="CM23" s="3">
        <f t="shared" si="63"/>
        <v>22.476440999410915</v>
      </c>
      <c r="CN23" s="10">
        <f t="shared" si="38"/>
        <v>3.8</v>
      </c>
      <c r="CO23" s="3">
        <f t="shared" si="39"/>
        <v>90.587491932587156</v>
      </c>
      <c r="CP23" s="3">
        <f t="shared" si="64"/>
        <v>90.587491932587156</v>
      </c>
      <c r="CQ23" s="3">
        <f t="shared" si="40"/>
        <v>1</v>
      </c>
      <c r="CR23" s="3">
        <f t="shared" si="41"/>
        <v>0.5</v>
      </c>
      <c r="CS23" s="3"/>
      <c r="CT23" s="3">
        <f t="shared" si="42"/>
        <v>69.461491932587151</v>
      </c>
      <c r="CU23" s="3">
        <f t="shared" si="65"/>
        <v>69.461491932587151</v>
      </c>
      <c r="CV23" s="3"/>
      <c r="CW23" s="3"/>
      <c r="CX23" s="3"/>
      <c r="DD23" t="e">
        <f t="shared" si="43"/>
        <v>#VALUE!</v>
      </c>
      <c r="DE23" t="e">
        <f t="shared" si="44"/>
        <v>#VALUE!</v>
      </c>
      <c r="DF23" t="e">
        <f t="shared" si="45"/>
        <v>#VALUE!</v>
      </c>
      <c r="DG23">
        <f t="shared" si="46"/>
        <v>5.9880000000000004</v>
      </c>
      <c r="DH23">
        <f t="shared" si="47"/>
        <v>43.300000000000004</v>
      </c>
      <c r="DI23">
        <f t="shared" si="48"/>
        <v>247.27876800000004</v>
      </c>
      <c r="DJ23">
        <f t="shared" si="49"/>
        <v>370.91815200000008</v>
      </c>
      <c r="DK23">
        <f t="shared" si="50"/>
        <v>659.41004800000019</v>
      </c>
      <c r="DL23">
        <f t="shared" si="66"/>
        <v>30.019999999999996</v>
      </c>
      <c r="DN23">
        <f t="shared" si="51"/>
        <v>989.11507200000017</v>
      </c>
      <c r="DP23">
        <f t="shared" si="52"/>
        <v>0</v>
      </c>
      <c r="DQ23">
        <f t="shared" si="53"/>
        <v>0</v>
      </c>
      <c r="DR23">
        <f t="shared" si="54"/>
        <v>0</v>
      </c>
      <c r="DU23" t="e">
        <f t="shared" si="55"/>
        <v>#VALUE!</v>
      </c>
    </row>
    <row r="24" spans="1:125" ht="17.25" x14ac:dyDescent="0.3">
      <c r="A24" s="72">
        <f t="shared" si="4"/>
        <v>1.4015359999999999</v>
      </c>
      <c r="B24" s="113"/>
      <c r="C24" s="28"/>
      <c r="D24" s="118"/>
      <c r="E24" s="72"/>
      <c r="F24" s="113"/>
      <c r="G24" s="113"/>
      <c r="H24" s="113"/>
      <c r="I24" s="314"/>
      <c r="J24" s="142" t="s">
        <v>196</v>
      </c>
      <c r="K24" s="320">
        <v>0</v>
      </c>
      <c r="L24" s="72"/>
      <c r="M24" s="323">
        <f t="shared" si="69"/>
        <v>1</v>
      </c>
      <c r="N24" s="118">
        <v>1.4359999999999999</v>
      </c>
      <c r="O24" s="72">
        <v>0.97599999999999998</v>
      </c>
      <c r="P24" s="72">
        <v>1.6</v>
      </c>
      <c r="Q24" s="72"/>
      <c r="R24" s="72"/>
      <c r="S24" s="222">
        <f t="shared" si="70"/>
        <v>2.2424575999999998</v>
      </c>
      <c r="T24" s="290">
        <f t="shared" ref="T24:T71" si="79">(N24*P24*Q24)*2+(O24*P24*Q24)*2</f>
        <v>0</v>
      </c>
      <c r="U24" s="290">
        <f t="shared" ref="U24:U71" si="80">T24+(Q24*R24*1.3)*2+(Q24*R24*1)*2</f>
        <v>0</v>
      </c>
      <c r="V24" s="290">
        <f t="shared" ref="V24:V71" si="81">U24*255</f>
        <v>0</v>
      </c>
      <c r="W24" s="48"/>
      <c r="X24" s="249" t="s">
        <v>215</v>
      </c>
      <c r="Y24" s="14" t="str">
        <f t="shared" si="71"/>
        <v>pro pl. šachtu</v>
      </c>
      <c r="Z24" s="16">
        <v>1</v>
      </c>
      <c r="AA24" s="16" t="s">
        <v>216</v>
      </c>
      <c r="AB24" s="181" t="s">
        <v>16</v>
      </c>
      <c r="AC24" s="260" t="str">
        <f t="shared" si="5"/>
        <v>Š06a</v>
      </c>
      <c r="AD24" s="263">
        <f t="shared" si="72"/>
        <v>0</v>
      </c>
      <c r="AE24" s="37" t="s">
        <v>23</v>
      </c>
      <c r="AF24" s="48" t="s">
        <v>249</v>
      </c>
      <c r="AG24" s="48">
        <f t="shared" si="6"/>
        <v>0</v>
      </c>
      <c r="AH24" s="48">
        <f t="shared" si="73"/>
        <v>0</v>
      </c>
      <c r="AI24" s="24" t="s">
        <v>23</v>
      </c>
      <c r="AJ24" s="307">
        <f t="shared" ref="AJ24:AJ43" si="82">IF(AI24="ano",(N24*O24+O24*P24+N24*P24)*4,0)</f>
        <v>0</v>
      </c>
      <c r="AK24" s="255" t="str">
        <f t="shared" si="74"/>
        <v>Š06a</v>
      </c>
      <c r="AL24" s="28" t="s">
        <v>22</v>
      </c>
      <c r="AM24" s="25">
        <f t="shared" si="8"/>
        <v>18.239872000000002</v>
      </c>
      <c r="AN24" s="56">
        <f t="shared" si="57"/>
        <v>3.579936</v>
      </c>
      <c r="AO24" s="251" t="s">
        <v>249</v>
      </c>
      <c r="AP24" s="194">
        <f t="shared" si="75"/>
        <v>0</v>
      </c>
      <c r="AQ24" s="208" t="s">
        <v>184</v>
      </c>
      <c r="AR24" s="203">
        <f t="shared" si="58"/>
        <v>0</v>
      </c>
      <c r="AS24" s="189"/>
      <c r="AT24" s="198">
        <f t="shared" si="9"/>
        <v>1.5</v>
      </c>
      <c r="AU24" s="199">
        <f t="shared" si="10"/>
        <v>0</v>
      </c>
      <c r="AV24" s="222">
        <f t="shared" si="11"/>
        <v>0.35799360000000002</v>
      </c>
      <c r="AW24" s="118"/>
      <c r="AX24" s="103">
        <f t="shared" si="12"/>
        <v>0.7</v>
      </c>
      <c r="AY24" s="192">
        <f t="shared" si="13"/>
        <v>3.579936</v>
      </c>
      <c r="AZ24" s="192">
        <v>1</v>
      </c>
      <c r="BA24" s="192">
        <f t="shared" si="76"/>
        <v>6.8018784000000005</v>
      </c>
      <c r="BB24" s="113">
        <f t="shared" si="77"/>
        <v>0</v>
      </c>
      <c r="BC24" s="113">
        <f t="shared" si="59"/>
        <v>0</v>
      </c>
      <c r="BD24" s="270">
        <f t="shared" si="67"/>
        <v>10.423999999999999</v>
      </c>
      <c r="BE24" s="228">
        <f t="shared" si="60"/>
        <v>4.2014272000000012</v>
      </c>
      <c r="BF24" s="268">
        <v>0</v>
      </c>
      <c r="BG24" s="268">
        <f>BF24*CEILING(IF(L24=0,0,O24-0.8),1)</f>
        <v>0</v>
      </c>
      <c r="BH24" s="118"/>
      <c r="BI24" s="72">
        <f t="shared" si="68"/>
        <v>0</v>
      </c>
      <c r="BJ24" s="256" t="str">
        <f t="shared" si="78"/>
        <v>Š06a</v>
      </c>
      <c r="BK24" s="230">
        <f t="shared" ref="BK24:BK82" si="83">BG24*BH24*0.5</f>
        <v>0</v>
      </c>
      <c r="BL24" s="3">
        <f t="shared" si="14"/>
        <v>0</v>
      </c>
      <c r="BM24" s="3">
        <f t="shared" si="15"/>
        <v>0</v>
      </c>
      <c r="BN24" s="10">
        <f t="shared" si="16"/>
        <v>0</v>
      </c>
      <c r="BO24" s="3">
        <f t="shared" si="17"/>
        <v>0</v>
      </c>
      <c r="BP24" s="3">
        <f t="shared" si="18"/>
        <v>0</v>
      </c>
      <c r="BQ24" s="3">
        <f t="shared" si="19"/>
        <v>0</v>
      </c>
      <c r="BR24" s="3">
        <f t="shared" si="20"/>
        <v>0</v>
      </c>
      <c r="BS24" s="3">
        <f t="shared" si="21"/>
        <v>0</v>
      </c>
      <c r="BT24" s="3"/>
      <c r="BU24" s="3">
        <f t="shared" si="22"/>
        <v>0</v>
      </c>
      <c r="BV24" s="3">
        <f t="shared" si="23"/>
        <v>0</v>
      </c>
      <c r="BW24" s="3">
        <f t="shared" si="24"/>
        <v>0</v>
      </c>
      <c r="BX24" s="3">
        <f t="shared" si="25"/>
        <v>0</v>
      </c>
      <c r="BY24" s="3">
        <f t="shared" si="26"/>
        <v>0</v>
      </c>
      <c r="BZ24" s="3">
        <f t="shared" si="27"/>
        <v>0</v>
      </c>
      <c r="CA24" s="3">
        <f t="shared" si="28"/>
        <v>1.6</v>
      </c>
      <c r="CB24" s="3">
        <f t="shared" si="29"/>
        <v>0</v>
      </c>
      <c r="CC24" s="3">
        <f t="shared" si="30"/>
        <v>0</v>
      </c>
      <c r="CD24" s="3">
        <f t="shared" si="31"/>
        <v>0</v>
      </c>
      <c r="CE24" s="3">
        <f t="shared" si="32"/>
        <v>0</v>
      </c>
      <c r="CF24" s="3">
        <f t="shared" si="33"/>
        <v>0</v>
      </c>
      <c r="CG24" s="3">
        <f t="shared" si="34"/>
        <v>1</v>
      </c>
      <c r="CH24" s="3">
        <f t="shared" si="35"/>
        <v>0</v>
      </c>
      <c r="CI24" s="3"/>
      <c r="CJ24" s="3">
        <f t="shared" si="36"/>
        <v>7.8207360000000001</v>
      </c>
      <c r="CK24" s="3">
        <f t="shared" si="37"/>
        <v>23.044736</v>
      </c>
      <c r="CL24" s="3">
        <f t="shared" si="62"/>
        <v>180.22679644569601</v>
      </c>
      <c r="CM24" s="3">
        <f t="shared" si="63"/>
        <v>13.424857408765876</v>
      </c>
      <c r="CN24" s="10">
        <f t="shared" si="38"/>
        <v>1.6</v>
      </c>
      <c r="CO24" s="3">
        <f t="shared" si="39"/>
        <v>23.621509018008467</v>
      </c>
      <c r="CP24" s="3">
        <f t="shared" si="64"/>
        <v>23.621509018008467</v>
      </c>
      <c r="CQ24" s="3">
        <f t="shared" si="40"/>
        <v>1</v>
      </c>
      <c r="CR24" s="3">
        <f t="shared" si="41"/>
        <v>0</v>
      </c>
      <c r="CS24" s="3"/>
      <c r="CT24" s="3">
        <f t="shared" si="42"/>
        <v>20.350817818008466</v>
      </c>
      <c r="CU24" s="3">
        <f t="shared" si="65"/>
        <v>20.350817818008466</v>
      </c>
      <c r="CV24" s="3"/>
      <c r="CW24" s="3"/>
      <c r="CX24" s="3"/>
      <c r="DD24" t="e">
        <f t="shared" si="43"/>
        <v>#VALUE!</v>
      </c>
      <c r="DE24" t="e">
        <f t="shared" si="44"/>
        <v>#VALUE!</v>
      </c>
      <c r="DF24" t="e">
        <f t="shared" si="45"/>
        <v>#VALUE!</v>
      </c>
      <c r="DG24">
        <f t="shared" si="46"/>
        <v>0</v>
      </c>
      <c r="DH24">
        <f t="shared" si="47"/>
        <v>10.521472000000001</v>
      </c>
      <c r="DI24">
        <f t="shared" si="48"/>
        <v>62.242503198720001</v>
      </c>
      <c r="DJ24">
        <f t="shared" si="49"/>
        <v>93.363754798079995</v>
      </c>
      <c r="DK24">
        <f t="shared" si="50"/>
        <v>165.98000852992001</v>
      </c>
      <c r="DL24">
        <f t="shared" si="66"/>
        <v>9.1392000000000007</v>
      </c>
      <c r="DN24">
        <f t="shared" si="51"/>
        <v>248.97001279488001</v>
      </c>
      <c r="DP24">
        <f t="shared" si="52"/>
        <v>0</v>
      </c>
      <c r="DQ24">
        <f t="shared" si="53"/>
        <v>0</v>
      </c>
      <c r="DR24">
        <f t="shared" si="54"/>
        <v>0</v>
      </c>
      <c r="DU24" t="e">
        <f t="shared" si="55"/>
        <v>#VALUE!</v>
      </c>
    </row>
    <row r="25" spans="1:125" ht="17.25" x14ac:dyDescent="0.3">
      <c r="A25" s="72">
        <f t="shared" si="4"/>
        <v>5.88</v>
      </c>
      <c r="B25" s="113"/>
      <c r="C25" s="28"/>
      <c r="D25" s="118">
        <v>2</v>
      </c>
      <c r="E25" s="72"/>
      <c r="F25" s="409">
        <v>12</v>
      </c>
      <c r="G25" s="113"/>
      <c r="H25" s="113"/>
      <c r="I25" s="314"/>
      <c r="J25" s="142" t="s">
        <v>136</v>
      </c>
      <c r="K25" s="213">
        <v>1</v>
      </c>
      <c r="L25" s="72"/>
      <c r="M25" s="27">
        <f t="shared" si="69"/>
        <v>0</v>
      </c>
      <c r="N25" s="118">
        <v>2.8</v>
      </c>
      <c r="O25" s="72">
        <v>2.1</v>
      </c>
      <c r="P25" s="72">
        <v>3.5</v>
      </c>
      <c r="Q25" s="72">
        <v>0.2</v>
      </c>
      <c r="R25" s="72">
        <v>0.3</v>
      </c>
      <c r="S25" s="222">
        <f t="shared" si="70"/>
        <v>20.58</v>
      </c>
      <c r="T25" s="290">
        <f t="shared" si="79"/>
        <v>6.86</v>
      </c>
      <c r="U25" s="290">
        <f t="shared" si="80"/>
        <v>7.1360000000000001</v>
      </c>
      <c r="V25" s="290">
        <f t="shared" si="81"/>
        <v>1819.68</v>
      </c>
      <c r="W25" s="48"/>
      <c r="X25" s="15" t="s">
        <v>28</v>
      </c>
      <c r="Y25" s="14" t="str">
        <f t="shared" si="71"/>
        <v>ŽB. šachta</v>
      </c>
      <c r="Z25" s="16">
        <v>1</v>
      </c>
      <c r="AA25" s="16" t="s">
        <v>216</v>
      </c>
      <c r="AB25" s="181" t="s">
        <v>16</v>
      </c>
      <c r="AC25" s="260" t="str">
        <f t="shared" si="5"/>
        <v>Š07</v>
      </c>
      <c r="AD25" s="263">
        <f t="shared" si="72"/>
        <v>1</v>
      </c>
      <c r="AE25" s="37" t="s">
        <v>217</v>
      </c>
      <c r="AF25" s="48" t="s">
        <v>249</v>
      </c>
      <c r="AG25" s="48">
        <f t="shared" si="6"/>
        <v>39.06</v>
      </c>
      <c r="AH25" s="48">
        <f t="shared" si="73"/>
        <v>0</v>
      </c>
      <c r="AI25" s="24" t="s">
        <v>217</v>
      </c>
      <c r="AJ25" s="307">
        <f t="shared" si="82"/>
        <v>92.12</v>
      </c>
      <c r="AK25" s="255" t="str">
        <f t="shared" si="74"/>
        <v>Š07</v>
      </c>
      <c r="AL25" s="28" t="s">
        <v>22</v>
      </c>
      <c r="AM25" s="25">
        <f t="shared" si="8"/>
        <v>80.36</v>
      </c>
      <c r="AN25" s="56">
        <f t="shared" si="57"/>
        <v>13.2</v>
      </c>
      <c r="AO25" s="251" t="s">
        <v>22</v>
      </c>
      <c r="AP25" s="194">
        <f t="shared" si="75"/>
        <v>4.2600000000000051</v>
      </c>
      <c r="AQ25" s="208" t="s">
        <v>184</v>
      </c>
      <c r="AR25" s="203">
        <f t="shared" si="58"/>
        <v>40.18</v>
      </c>
      <c r="AS25" s="189"/>
      <c r="AT25" s="198">
        <f t="shared" si="9"/>
        <v>0</v>
      </c>
      <c r="AU25" s="199">
        <f t="shared" si="10"/>
        <v>15.839999999999998</v>
      </c>
      <c r="AV25" s="222">
        <f t="shared" si="11"/>
        <v>1.9799999999999998</v>
      </c>
      <c r="AW25" s="118"/>
      <c r="AX25" s="103">
        <f t="shared" si="12"/>
        <v>1.2</v>
      </c>
      <c r="AY25" s="192">
        <f t="shared" si="13"/>
        <v>13.2</v>
      </c>
      <c r="AZ25" s="192">
        <v>1</v>
      </c>
      <c r="BA25" s="192">
        <f t="shared" si="76"/>
        <v>54.11999999999999</v>
      </c>
      <c r="BB25" s="113">
        <f t="shared" si="77"/>
        <v>116.39999999999999</v>
      </c>
      <c r="BC25" s="113">
        <f t="shared" si="59"/>
        <v>0</v>
      </c>
      <c r="BD25" s="270">
        <f t="shared" si="67"/>
        <v>0</v>
      </c>
      <c r="BE25" s="228">
        <f t="shared" si="60"/>
        <v>31.559999999999992</v>
      </c>
      <c r="BF25" s="268">
        <v>2</v>
      </c>
      <c r="BG25" s="268">
        <f t="shared" ref="BG25:BG35" si="84">BF25*IF(K25=0,0,N25-0.8)</f>
        <v>3.9999999999999996</v>
      </c>
      <c r="BH25" s="118">
        <v>4</v>
      </c>
      <c r="BI25" s="72">
        <f t="shared" ref="BI25:BI28" si="85">BG25*BH25*15</f>
        <v>239.99999999999997</v>
      </c>
      <c r="BJ25" s="256" t="str">
        <f t="shared" si="78"/>
        <v>Š07</v>
      </c>
      <c r="BK25" s="230">
        <f t="shared" si="83"/>
        <v>7.9999999999999991</v>
      </c>
      <c r="BL25" s="3">
        <f t="shared" si="14"/>
        <v>1</v>
      </c>
      <c r="BM25" s="3">
        <f t="shared" si="15"/>
        <v>1</v>
      </c>
      <c r="BN25" s="10">
        <f t="shared" si="16"/>
        <v>0</v>
      </c>
      <c r="BO25" s="3">
        <f t="shared" si="17"/>
        <v>0</v>
      </c>
      <c r="BP25" s="3">
        <f t="shared" si="18"/>
        <v>0</v>
      </c>
      <c r="BQ25" s="3">
        <f t="shared" si="19"/>
        <v>0</v>
      </c>
      <c r="BR25" s="3">
        <f t="shared" si="20"/>
        <v>0</v>
      </c>
      <c r="BS25" s="3">
        <f t="shared" si="21"/>
        <v>1</v>
      </c>
      <c r="BT25" s="3"/>
      <c r="BU25" s="3">
        <f t="shared" si="22"/>
        <v>0</v>
      </c>
      <c r="BV25" s="3">
        <f t="shared" si="23"/>
        <v>0</v>
      </c>
      <c r="BW25" s="3">
        <f t="shared" si="24"/>
        <v>1</v>
      </c>
      <c r="BX25" s="3">
        <f t="shared" si="25"/>
        <v>0</v>
      </c>
      <c r="BY25" s="3">
        <f t="shared" si="26"/>
        <v>0</v>
      </c>
      <c r="BZ25" s="3">
        <f t="shared" si="27"/>
        <v>0</v>
      </c>
      <c r="CA25" s="3">
        <f t="shared" si="28"/>
        <v>0</v>
      </c>
      <c r="CB25" s="3">
        <f t="shared" si="29"/>
        <v>0</v>
      </c>
      <c r="CC25" s="3">
        <f t="shared" si="30"/>
        <v>0</v>
      </c>
      <c r="CD25" s="3">
        <f t="shared" si="31"/>
        <v>0</v>
      </c>
      <c r="CE25" s="3">
        <f t="shared" si="32"/>
        <v>0</v>
      </c>
      <c r="CF25" s="3">
        <f t="shared" si="33"/>
        <v>0</v>
      </c>
      <c r="CG25" s="3">
        <f t="shared" si="34"/>
        <v>1</v>
      </c>
      <c r="CH25" s="3">
        <f t="shared" si="35"/>
        <v>1</v>
      </c>
      <c r="CI25" s="3"/>
      <c r="CJ25" s="3">
        <f t="shared" si="36"/>
        <v>16.28</v>
      </c>
      <c r="CK25" s="3">
        <f t="shared" si="37"/>
        <v>36.480000000000004</v>
      </c>
      <c r="CL25" s="3">
        <f t="shared" si="62"/>
        <v>593.89440000000013</v>
      </c>
      <c r="CM25" s="3">
        <f t="shared" si="63"/>
        <v>24.369948707373187</v>
      </c>
      <c r="CN25" s="10">
        <f t="shared" si="38"/>
        <v>3.8</v>
      </c>
      <c r="CO25" s="3">
        <f t="shared" si="39"/>
        <v>97.697935029339362</v>
      </c>
      <c r="CP25" s="3">
        <f t="shared" si="64"/>
        <v>97.697935029339362</v>
      </c>
      <c r="CQ25" s="3">
        <f t="shared" si="40"/>
        <v>1</v>
      </c>
      <c r="CR25" s="3">
        <f t="shared" si="41"/>
        <v>0.5</v>
      </c>
      <c r="CS25" s="3"/>
      <c r="CT25" s="3">
        <f t="shared" si="42"/>
        <v>72.467935029339358</v>
      </c>
      <c r="CU25" s="3">
        <f t="shared" si="65"/>
        <v>72.467935029339358</v>
      </c>
      <c r="CV25" s="3"/>
      <c r="CW25" s="3"/>
      <c r="CX25" s="3"/>
      <c r="DD25" t="e">
        <f t="shared" si="43"/>
        <v>#VALUE!</v>
      </c>
      <c r="DE25" t="e">
        <f t="shared" si="44"/>
        <v>#VALUE!</v>
      </c>
      <c r="DF25" t="e">
        <f t="shared" si="45"/>
        <v>#VALUE!</v>
      </c>
      <c r="DG25">
        <f t="shared" si="46"/>
        <v>6.4679999999999973</v>
      </c>
      <c r="DH25">
        <f t="shared" si="47"/>
        <v>47.56</v>
      </c>
      <c r="DI25">
        <f t="shared" si="48"/>
        <v>272.4799056</v>
      </c>
      <c r="DJ25">
        <f t="shared" si="49"/>
        <v>408.71985840000002</v>
      </c>
      <c r="DK25">
        <f t="shared" si="50"/>
        <v>726.61308159999999</v>
      </c>
      <c r="DL25">
        <f t="shared" si="66"/>
        <v>31.16</v>
      </c>
      <c r="DN25">
        <f t="shared" si="51"/>
        <v>1089.9196224</v>
      </c>
      <c r="DP25">
        <f t="shared" si="52"/>
        <v>0</v>
      </c>
      <c r="DQ25">
        <f t="shared" si="53"/>
        <v>0</v>
      </c>
      <c r="DR25">
        <f t="shared" si="54"/>
        <v>0</v>
      </c>
      <c r="DU25" t="e">
        <f t="shared" si="55"/>
        <v>#VALUE!</v>
      </c>
    </row>
    <row r="26" spans="1:125" ht="17.25" x14ac:dyDescent="0.3">
      <c r="A26" s="72">
        <f t="shared" si="4"/>
        <v>5.88</v>
      </c>
      <c r="B26" s="113"/>
      <c r="C26" s="28"/>
      <c r="D26" s="118"/>
      <c r="E26" s="72"/>
      <c r="F26" s="113"/>
      <c r="G26" s="113"/>
      <c r="H26" s="113"/>
      <c r="I26" s="314"/>
      <c r="J26" s="142" t="s">
        <v>137</v>
      </c>
      <c r="K26" s="213">
        <v>1</v>
      </c>
      <c r="L26" s="72"/>
      <c r="M26" s="27">
        <f t="shared" si="69"/>
        <v>0</v>
      </c>
      <c r="N26" s="118">
        <v>2.8</v>
      </c>
      <c r="O26" s="72">
        <v>2.1</v>
      </c>
      <c r="P26" s="72">
        <v>3.5</v>
      </c>
      <c r="Q26" s="72">
        <v>0.2</v>
      </c>
      <c r="R26" s="72">
        <v>0.3</v>
      </c>
      <c r="S26" s="222">
        <f t="shared" si="70"/>
        <v>20.58</v>
      </c>
      <c r="T26" s="290">
        <f t="shared" si="79"/>
        <v>6.86</v>
      </c>
      <c r="U26" s="290">
        <f t="shared" si="80"/>
        <v>7.1360000000000001</v>
      </c>
      <c r="V26" s="290">
        <f t="shared" si="81"/>
        <v>1819.68</v>
      </c>
      <c r="W26" s="48"/>
      <c r="X26" s="15" t="s">
        <v>28</v>
      </c>
      <c r="Y26" s="14" t="str">
        <f t="shared" si="71"/>
        <v>ŽB. šachta</v>
      </c>
      <c r="Z26" s="16">
        <v>1</v>
      </c>
      <c r="AA26" s="16" t="s">
        <v>216</v>
      </c>
      <c r="AB26" s="181" t="s">
        <v>16</v>
      </c>
      <c r="AC26" s="260" t="str">
        <f t="shared" si="5"/>
        <v>Š08</v>
      </c>
      <c r="AD26" s="263">
        <f t="shared" si="72"/>
        <v>1</v>
      </c>
      <c r="AE26" s="37" t="s">
        <v>217</v>
      </c>
      <c r="AF26" s="48" t="s">
        <v>249</v>
      </c>
      <c r="AG26" s="48">
        <f t="shared" si="6"/>
        <v>39.06</v>
      </c>
      <c r="AH26" s="48">
        <f t="shared" si="73"/>
        <v>0</v>
      </c>
      <c r="AI26" s="24" t="s">
        <v>217</v>
      </c>
      <c r="AJ26" s="307">
        <f t="shared" si="82"/>
        <v>92.12</v>
      </c>
      <c r="AK26" s="255" t="str">
        <f t="shared" si="74"/>
        <v>Š08</v>
      </c>
      <c r="AL26" s="28" t="s">
        <v>22</v>
      </c>
      <c r="AM26" s="25">
        <f t="shared" si="8"/>
        <v>80.36</v>
      </c>
      <c r="AN26" s="56">
        <f t="shared" si="57"/>
        <v>13.2</v>
      </c>
      <c r="AO26" s="251" t="s">
        <v>22</v>
      </c>
      <c r="AP26" s="194">
        <f t="shared" si="75"/>
        <v>4.2600000000000051</v>
      </c>
      <c r="AQ26" s="208" t="s">
        <v>184</v>
      </c>
      <c r="AR26" s="203">
        <f t="shared" si="58"/>
        <v>40.18</v>
      </c>
      <c r="AS26" s="189"/>
      <c r="AT26" s="198">
        <f t="shared" si="9"/>
        <v>0</v>
      </c>
      <c r="AU26" s="199">
        <f t="shared" si="10"/>
        <v>15.839999999999998</v>
      </c>
      <c r="AV26" s="222">
        <f t="shared" si="11"/>
        <v>1.9799999999999998</v>
      </c>
      <c r="AW26" s="118"/>
      <c r="AX26" s="103">
        <f t="shared" si="12"/>
        <v>1.2</v>
      </c>
      <c r="AY26" s="192">
        <f t="shared" si="13"/>
        <v>13.2</v>
      </c>
      <c r="AZ26" s="192">
        <v>1</v>
      </c>
      <c r="BA26" s="192">
        <f t="shared" si="76"/>
        <v>54.11999999999999</v>
      </c>
      <c r="BB26" s="113">
        <f t="shared" si="77"/>
        <v>116.39999999999999</v>
      </c>
      <c r="BC26" s="113">
        <f t="shared" si="59"/>
        <v>0</v>
      </c>
      <c r="BD26" s="270">
        <f t="shared" si="67"/>
        <v>0</v>
      </c>
      <c r="BE26" s="228">
        <f t="shared" si="60"/>
        <v>31.559999999999992</v>
      </c>
      <c r="BF26" s="268">
        <v>2</v>
      </c>
      <c r="BG26" s="268">
        <f t="shared" si="84"/>
        <v>3.9999999999999996</v>
      </c>
      <c r="BH26" s="118">
        <v>4</v>
      </c>
      <c r="BI26" s="72">
        <f t="shared" si="85"/>
        <v>239.99999999999997</v>
      </c>
      <c r="BJ26" s="256" t="str">
        <f t="shared" si="78"/>
        <v>Š08</v>
      </c>
      <c r="BK26" s="230">
        <f t="shared" si="83"/>
        <v>7.9999999999999991</v>
      </c>
      <c r="BL26" s="3">
        <f t="shared" si="14"/>
        <v>1</v>
      </c>
      <c r="BM26" s="3">
        <f t="shared" si="15"/>
        <v>1</v>
      </c>
      <c r="BN26" s="10">
        <f t="shared" si="16"/>
        <v>0</v>
      </c>
      <c r="BO26" s="3">
        <f t="shared" si="17"/>
        <v>0</v>
      </c>
      <c r="BP26" s="3">
        <f t="shared" si="18"/>
        <v>0</v>
      </c>
      <c r="BQ26" s="3">
        <f t="shared" si="19"/>
        <v>0</v>
      </c>
      <c r="BR26" s="3">
        <f t="shared" si="20"/>
        <v>0</v>
      </c>
      <c r="BS26" s="3">
        <f t="shared" si="21"/>
        <v>1</v>
      </c>
      <c r="BT26" s="3"/>
      <c r="BU26" s="3">
        <f t="shared" si="22"/>
        <v>0</v>
      </c>
      <c r="BV26" s="3">
        <f t="shared" si="23"/>
        <v>0</v>
      </c>
      <c r="BW26" s="3">
        <f t="shared" si="24"/>
        <v>1</v>
      </c>
      <c r="BX26" s="3">
        <f t="shared" si="25"/>
        <v>0</v>
      </c>
      <c r="BY26" s="3">
        <f t="shared" si="26"/>
        <v>0</v>
      </c>
      <c r="BZ26" s="3">
        <f t="shared" si="27"/>
        <v>0</v>
      </c>
      <c r="CA26" s="3">
        <f t="shared" si="28"/>
        <v>0</v>
      </c>
      <c r="CB26" s="3">
        <f t="shared" si="29"/>
        <v>0</v>
      </c>
      <c r="CC26" s="3">
        <f t="shared" si="30"/>
        <v>0</v>
      </c>
      <c r="CD26" s="3">
        <f t="shared" si="31"/>
        <v>0</v>
      </c>
      <c r="CE26" s="3">
        <f t="shared" si="32"/>
        <v>0</v>
      </c>
      <c r="CF26" s="3">
        <f t="shared" si="33"/>
        <v>0</v>
      </c>
      <c r="CG26" s="3">
        <f t="shared" si="34"/>
        <v>1</v>
      </c>
      <c r="CH26" s="3">
        <f t="shared" si="35"/>
        <v>1</v>
      </c>
      <c r="CI26" s="3"/>
      <c r="CJ26" s="3">
        <f t="shared" si="36"/>
        <v>16.28</v>
      </c>
      <c r="CK26" s="3">
        <f t="shared" si="37"/>
        <v>36.480000000000004</v>
      </c>
      <c r="CL26" s="3">
        <f t="shared" si="62"/>
        <v>593.89440000000013</v>
      </c>
      <c r="CM26" s="3">
        <f t="shared" si="63"/>
        <v>24.369948707373187</v>
      </c>
      <c r="CN26" s="10">
        <f t="shared" si="38"/>
        <v>3.8</v>
      </c>
      <c r="CO26" s="3">
        <f t="shared" si="39"/>
        <v>97.697935029339362</v>
      </c>
      <c r="CP26" s="3">
        <f t="shared" si="64"/>
        <v>97.697935029339362</v>
      </c>
      <c r="CQ26" s="3">
        <f t="shared" si="40"/>
        <v>1</v>
      </c>
      <c r="CR26" s="3">
        <f t="shared" si="41"/>
        <v>0.5</v>
      </c>
      <c r="CS26" s="3"/>
      <c r="CT26" s="3">
        <f t="shared" si="42"/>
        <v>72.467935029339358</v>
      </c>
      <c r="CU26" s="3">
        <f t="shared" si="65"/>
        <v>72.467935029339358</v>
      </c>
      <c r="CV26" s="3"/>
      <c r="CW26" s="3"/>
      <c r="CX26" s="3"/>
      <c r="DD26" t="e">
        <f t="shared" si="43"/>
        <v>#VALUE!</v>
      </c>
      <c r="DE26" t="e">
        <f t="shared" si="44"/>
        <v>#VALUE!</v>
      </c>
      <c r="DF26" t="e">
        <f t="shared" si="45"/>
        <v>#VALUE!</v>
      </c>
      <c r="DG26">
        <f t="shared" si="46"/>
        <v>6.4679999999999973</v>
      </c>
      <c r="DH26">
        <f t="shared" si="47"/>
        <v>47.56</v>
      </c>
      <c r="DI26">
        <f t="shared" si="48"/>
        <v>272.4799056</v>
      </c>
      <c r="DJ26">
        <f t="shared" si="49"/>
        <v>408.71985840000002</v>
      </c>
      <c r="DK26">
        <f t="shared" si="50"/>
        <v>726.61308159999999</v>
      </c>
      <c r="DL26">
        <f t="shared" si="66"/>
        <v>31.16</v>
      </c>
      <c r="DN26">
        <f t="shared" si="51"/>
        <v>1089.9196224</v>
      </c>
      <c r="DP26">
        <f t="shared" si="52"/>
        <v>0</v>
      </c>
      <c r="DQ26">
        <f t="shared" si="53"/>
        <v>0</v>
      </c>
      <c r="DR26">
        <f t="shared" si="54"/>
        <v>0</v>
      </c>
      <c r="DU26" t="e">
        <f t="shared" si="55"/>
        <v>#VALUE!</v>
      </c>
    </row>
    <row r="27" spans="1:125" ht="17.25" x14ac:dyDescent="0.3">
      <c r="A27" s="72">
        <f t="shared" si="4"/>
        <v>4.41</v>
      </c>
      <c r="B27" s="113"/>
      <c r="C27" s="28"/>
      <c r="D27" s="118"/>
      <c r="E27" s="72"/>
      <c r="F27" s="113">
        <v>2</v>
      </c>
      <c r="G27" s="113"/>
      <c r="H27" s="113"/>
      <c r="I27" s="314"/>
      <c r="J27" s="142" t="s">
        <v>138</v>
      </c>
      <c r="K27" s="213">
        <v>1</v>
      </c>
      <c r="L27" s="72"/>
      <c r="M27" s="27">
        <f t="shared" si="69"/>
        <v>0</v>
      </c>
      <c r="N27" s="118">
        <v>2.1</v>
      </c>
      <c r="O27" s="72">
        <v>2.1</v>
      </c>
      <c r="P27" s="72">
        <v>2.8</v>
      </c>
      <c r="Q27" s="72">
        <v>0.2</v>
      </c>
      <c r="R27" s="72">
        <v>0.3</v>
      </c>
      <c r="S27" s="222">
        <f t="shared" si="70"/>
        <v>12.347999999999999</v>
      </c>
      <c r="T27" s="290">
        <f t="shared" si="79"/>
        <v>4.7039999999999997</v>
      </c>
      <c r="U27" s="290">
        <f t="shared" si="80"/>
        <v>4.9799999999999995</v>
      </c>
      <c r="V27" s="290">
        <f t="shared" si="81"/>
        <v>1269.8999999999999</v>
      </c>
      <c r="W27" s="48"/>
      <c r="X27" s="15" t="s">
        <v>28</v>
      </c>
      <c r="Y27" s="14" t="str">
        <f t="shared" si="71"/>
        <v>ŽB. šachta</v>
      </c>
      <c r="Z27" s="16">
        <v>1</v>
      </c>
      <c r="AA27" s="16" t="s">
        <v>216</v>
      </c>
      <c r="AB27" s="181" t="s">
        <v>16</v>
      </c>
      <c r="AC27" s="260" t="str">
        <f t="shared" si="5"/>
        <v>Š09</v>
      </c>
      <c r="AD27" s="263">
        <f t="shared" si="72"/>
        <v>1</v>
      </c>
      <c r="AE27" s="37" t="s">
        <v>217</v>
      </c>
      <c r="AF27" s="48" t="s">
        <v>249</v>
      </c>
      <c r="AG27" s="48">
        <f t="shared" si="6"/>
        <v>30.379999999999995</v>
      </c>
      <c r="AH27" s="48">
        <f t="shared" si="73"/>
        <v>0</v>
      </c>
      <c r="AI27" s="24" t="s">
        <v>217</v>
      </c>
      <c r="AJ27" s="307">
        <f t="shared" si="82"/>
        <v>64.679999999999993</v>
      </c>
      <c r="AK27" s="255" t="str">
        <f t="shared" si="74"/>
        <v>Š09</v>
      </c>
      <c r="AL27" s="28" t="s">
        <v>22</v>
      </c>
      <c r="AM27" s="25">
        <f t="shared" si="8"/>
        <v>55.86</v>
      </c>
      <c r="AN27" s="56">
        <f t="shared" si="57"/>
        <v>10.889999999999999</v>
      </c>
      <c r="AO27" s="251" t="s">
        <v>22</v>
      </c>
      <c r="AP27" s="194">
        <f t="shared" si="75"/>
        <v>2.9930000000000039</v>
      </c>
      <c r="AQ27" s="208" t="s">
        <v>184</v>
      </c>
      <c r="AR27" s="203">
        <f t="shared" si="58"/>
        <v>27.93</v>
      </c>
      <c r="AS27" s="189"/>
      <c r="AT27" s="198">
        <f t="shared" si="9"/>
        <v>0</v>
      </c>
      <c r="AU27" s="199">
        <f t="shared" si="10"/>
        <v>13.067999999999998</v>
      </c>
      <c r="AV27" s="222">
        <f t="shared" si="11"/>
        <v>1.6334999999999997</v>
      </c>
      <c r="AW27" s="118"/>
      <c r="AX27" s="103">
        <f t="shared" si="12"/>
        <v>1.2</v>
      </c>
      <c r="AY27" s="192">
        <f t="shared" si="13"/>
        <v>10.889999999999999</v>
      </c>
      <c r="AZ27" s="192">
        <v>1</v>
      </c>
      <c r="BA27" s="192">
        <f t="shared" si="76"/>
        <v>37.025999999999989</v>
      </c>
      <c r="BB27" s="113">
        <f t="shared" si="77"/>
        <v>108</v>
      </c>
      <c r="BC27" s="113">
        <f t="shared" si="59"/>
        <v>0</v>
      </c>
      <c r="BD27" s="270">
        <f t="shared" si="67"/>
        <v>0</v>
      </c>
      <c r="BE27" s="228">
        <f t="shared" si="60"/>
        <v>23.044499999999992</v>
      </c>
      <c r="BF27" s="268">
        <v>1</v>
      </c>
      <c r="BG27" s="268">
        <f t="shared" si="84"/>
        <v>1.3</v>
      </c>
      <c r="BH27" s="118">
        <v>6</v>
      </c>
      <c r="BI27" s="72">
        <f t="shared" si="85"/>
        <v>117.00000000000001</v>
      </c>
      <c r="BJ27" s="256" t="str">
        <f t="shared" si="78"/>
        <v>Š09</v>
      </c>
      <c r="BK27" s="230">
        <f t="shared" si="83"/>
        <v>3.9000000000000004</v>
      </c>
      <c r="BL27" s="3">
        <f t="shared" si="14"/>
        <v>1</v>
      </c>
      <c r="BM27" s="3">
        <f t="shared" si="15"/>
        <v>1</v>
      </c>
      <c r="BN27" s="10">
        <f t="shared" si="16"/>
        <v>0</v>
      </c>
      <c r="BO27" s="3">
        <f t="shared" si="17"/>
        <v>0</v>
      </c>
      <c r="BP27" s="3">
        <f t="shared" si="18"/>
        <v>0</v>
      </c>
      <c r="BQ27" s="3">
        <f t="shared" si="19"/>
        <v>1</v>
      </c>
      <c r="BR27" s="3">
        <f t="shared" si="20"/>
        <v>0</v>
      </c>
      <c r="BS27" s="3">
        <f t="shared" si="21"/>
        <v>0</v>
      </c>
      <c r="BT27" s="3"/>
      <c r="BU27" s="3">
        <f t="shared" si="22"/>
        <v>1</v>
      </c>
      <c r="BV27" s="3">
        <f t="shared" si="23"/>
        <v>0</v>
      </c>
      <c r="BW27" s="3">
        <f t="shared" si="24"/>
        <v>0</v>
      </c>
      <c r="BX27" s="3">
        <f t="shared" si="25"/>
        <v>0</v>
      </c>
      <c r="BY27" s="3">
        <f t="shared" si="26"/>
        <v>0</v>
      </c>
      <c r="BZ27" s="3">
        <f t="shared" si="27"/>
        <v>0</v>
      </c>
      <c r="CA27" s="3">
        <f t="shared" si="28"/>
        <v>0</v>
      </c>
      <c r="CB27" s="3">
        <f t="shared" si="29"/>
        <v>0</v>
      </c>
      <c r="CC27" s="3">
        <f t="shared" si="30"/>
        <v>0</v>
      </c>
      <c r="CD27" s="3">
        <f t="shared" si="31"/>
        <v>0</v>
      </c>
      <c r="CE27" s="3">
        <f t="shared" si="32"/>
        <v>0</v>
      </c>
      <c r="CF27" s="3">
        <f t="shared" si="33"/>
        <v>0</v>
      </c>
      <c r="CG27" s="3">
        <f t="shared" si="34"/>
        <v>1</v>
      </c>
      <c r="CH27" s="3">
        <f t="shared" si="35"/>
        <v>1</v>
      </c>
      <c r="CI27" s="3"/>
      <c r="CJ27" s="3">
        <f t="shared" si="36"/>
        <v>13.690000000000001</v>
      </c>
      <c r="CK27" s="3">
        <f t="shared" si="37"/>
        <v>32.49</v>
      </c>
      <c r="CL27" s="3">
        <f t="shared" si="62"/>
        <v>444.78810000000004</v>
      </c>
      <c r="CM27" s="3">
        <f t="shared" si="63"/>
        <v>21.09</v>
      </c>
      <c r="CN27" s="10">
        <f t="shared" si="38"/>
        <v>3.0999999999999996</v>
      </c>
      <c r="CO27" s="3">
        <f t="shared" si="39"/>
        <v>69.512333333333331</v>
      </c>
      <c r="CP27" s="3">
        <f t="shared" si="64"/>
        <v>69.512333333333331</v>
      </c>
      <c r="CQ27" s="3">
        <f t="shared" si="40"/>
        <v>1</v>
      </c>
      <c r="CR27" s="3">
        <f t="shared" si="41"/>
        <v>0.5</v>
      </c>
      <c r="CS27" s="3"/>
      <c r="CT27" s="3">
        <f t="shared" si="42"/>
        <v>53.781333333333329</v>
      </c>
      <c r="CU27" s="3">
        <f t="shared" si="65"/>
        <v>53.781333333333329</v>
      </c>
      <c r="CV27" s="3"/>
      <c r="CW27" s="3"/>
      <c r="CX27" s="3"/>
      <c r="DD27" t="e">
        <f t="shared" si="43"/>
        <v>#VALUE!</v>
      </c>
      <c r="DE27" t="e">
        <f t="shared" si="44"/>
        <v>#VALUE!</v>
      </c>
      <c r="DF27" t="e">
        <f t="shared" si="45"/>
        <v>#VALUE!</v>
      </c>
      <c r="DG27">
        <f t="shared" si="46"/>
        <v>4.3889999999999993</v>
      </c>
      <c r="DH27">
        <f t="shared" si="47"/>
        <v>33.839999999999996</v>
      </c>
      <c r="DI27">
        <f t="shared" si="48"/>
        <v>191.3156784</v>
      </c>
      <c r="DJ27">
        <f t="shared" si="49"/>
        <v>286.97351759999998</v>
      </c>
      <c r="DK27">
        <f t="shared" si="50"/>
        <v>510.17514239999997</v>
      </c>
      <c r="DL27">
        <f t="shared" si="66"/>
        <v>23.25</v>
      </c>
      <c r="DN27">
        <f t="shared" si="51"/>
        <v>765.26271359999998</v>
      </c>
      <c r="DP27">
        <f t="shared" si="52"/>
        <v>0</v>
      </c>
      <c r="DQ27">
        <f t="shared" si="53"/>
        <v>0</v>
      </c>
      <c r="DR27">
        <f t="shared" si="54"/>
        <v>0</v>
      </c>
      <c r="DU27" t="e">
        <f t="shared" si="55"/>
        <v>#VALUE!</v>
      </c>
    </row>
    <row r="28" spans="1:125" ht="17.25" x14ac:dyDescent="0.3">
      <c r="A28" s="72">
        <f t="shared" si="4"/>
        <v>4.41</v>
      </c>
      <c r="B28" s="113"/>
      <c r="C28" s="28"/>
      <c r="D28" s="118"/>
      <c r="E28" s="72"/>
      <c r="F28" s="113">
        <v>2</v>
      </c>
      <c r="G28" s="113"/>
      <c r="H28" s="113"/>
      <c r="I28" s="314"/>
      <c r="J28" s="142" t="s">
        <v>139</v>
      </c>
      <c r="K28" s="213">
        <v>1</v>
      </c>
      <c r="L28" s="72"/>
      <c r="M28" s="27">
        <f t="shared" si="69"/>
        <v>0</v>
      </c>
      <c r="N28" s="118">
        <v>2.1</v>
      </c>
      <c r="O28" s="72">
        <v>2.1</v>
      </c>
      <c r="P28" s="72">
        <v>2.8</v>
      </c>
      <c r="Q28" s="72">
        <v>0.2</v>
      </c>
      <c r="R28" s="72">
        <v>0.3</v>
      </c>
      <c r="S28" s="222">
        <f t="shared" si="70"/>
        <v>12.347999999999999</v>
      </c>
      <c r="T28" s="290">
        <f t="shared" si="79"/>
        <v>4.7039999999999997</v>
      </c>
      <c r="U28" s="290">
        <f t="shared" si="80"/>
        <v>4.9799999999999995</v>
      </c>
      <c r="V28" s="290">
        <f t="shared" si="81"/>
        <v>1269.8999999999999</v>
      </c>
      <c r="W28" s="48"/>
      <c r="X28" s="15" t="s">
        <v>28</v>
      </c>
      <c r="Y28" s="14" t="str">
        <f t="shared" si="71"/>
        <v>ŽB. šachta</v>
      </c>
      <c r="Z28" s="16">
        <v>1</v>
      </c>
      <c r="AA28" s="16" t="s">
        <v>216</v>
      </c>
      <c r="AB28" s="181" t="s">
        <v>16</v>
      </c>
      <c r="AC28" s="260" t="str">
        <f t="shared" si="5"/>
        <v>Š10</v>
      </c>
      <c r="AD28" s="263">
        <f t="shared" si="72"/>
        <v>1</v>
      </c>
      <c r="AE28" s="37" t="s">
        <v>217</v>
      </c>
      <c r="AF28" s="48" t="s">
        <v>249</v>
      </c>
      <c r="AG28" s="48">
        <f t="shared" si="6"/>
        <v>30.379999999999995</v>
      </c>
      <c r="AH28" s="48">
        <f t="shared" si="73"/>
        <v>0</v>
      </c>
      <c r="AI28" s="24" t="s">
        <v>217</v>
      </c>
      <c r="AJ28" s="307">
        <f t="shared" si="82"/>
        <v>64.679999999999993</v>
      </c>
      <c r="AK28" s="255" t="str">
        <f t="shared" si="74"/>
        <v>Š10</v>
      </c>
      <c r="AL28" s="28" t="s">
        <v>22</v>
      </c>
      <c r="AM28" s="25">
        <f t="shared" si="8"/>
        <v>55.86</v>
      </c>
      <c r="AN28" s="56">
        <f t="shared" si="57"/>
        <v>10.889999999999999</v>
      </c>
      <c r="AO28" s="251" t="s">
        <v>22</v>
      </c>
      <c r="AP28" s="194">
        <f t="shared" si="75"/>
        <v>2.9930000000000039</v>
      </c>
      <c r="AQ28" s="208" t="s">
        <v>184</v>
      </c>
      <c r="AR28" s="203">
        <f t="shared" si="58"/>
        <v>27.93</v>
      </c>
      <c r="AS28" s="189"/>
      <c r="AT28" s="198">
        <f t="shared" si="9"/>
        <v>0</v>
      </c>
      <c r="AU28" s="199">
        <f t="shared" si="10"/>
        <v>13.067999999999998</v>
      </c>
      <c r="AV28" s="222">
        <f t="shared" si="11"/>
        <v>1.6334999999999997</v>
      </c>
      <c r="AW28" s="118"/>
      <c r="AX28" s="103">
        <f t="shared" si="12"/>
        <v>1.2</v>
      </c>
      <c r="AY28" s="192">
        <f t="shared" si="13"/>
        <v>10.889999999999999</v>
      </c>
      <c r="AZ28" s="192">
        <v>1</v>
      </c>
      <c r="BA28" s="192">
        <f t="shared" si="76"/>
        <v>37.025999999999989</v>
      </c>
      <c r="BB28" s="113">
        <f t="shared" si="77"/>
        <v>108</v>
      </c>
      <c r="BC28" s="113">
        <f t="shared" si="59"/>
        <v>0</v>
      </c>
      <c r="BD28" s="270">
        <f t="shared" si="67"/>
        <v>0</v>
      </c>
      <c r="BE28" s="228">
        <f t="shared" si="60"/>
        <v>23.044499999999992</v>
      </c>
      <c r="BF28" s="268">
        <v>1</v>
      </c>
      <c r="BG28" s="268">
        <f t="shared" si="84"/>
        <v>1.3</v>
      </c>
      <c r="BH28" s="118">
        <v>6</v>
      </c>
      <c r="BI28" s="72">
        <f t="shared" si="85"/>
        <v>117.00000000000001</v>
      </c>
      <c r="BJ28" s="256" t="str">
        <f t="shared" si="78"/>
        <v>Š10</v>
      </c>
      <c r="BK28" s="230">
        <f t="shared" si="83"/>
        <v>3.9000000000000004</v>
      </c>
      <c r="BL28" s="3">
        <f t="shared" si="14"/>
        <v>1</v>
      </c>
      <c r="BM28" s="3">
        <f t="shared" si="15"/>
        <v>1</v>
      </c>
      <c r="BN28" s="10">
        <f t="shared" si="16"/>
        <v>0</v>
      </c>
      <c r="BO28" s="3">
        <f t="shared" si="17"/>
        <v>0</v>
      </c>
      <c r="BP28" s="3">
        <f t="shared" si="18"/>
        <v>0</v>
      </c>
      <c r="BQ28" s="3">
        <f t="shared" si="19"/>
        <v>1</v>
      </c>
      <c r="BR28" s="3">
        <f t="shared" si="20"/>
        <v>0</v>
      </c>
      <c r="BS28" s="3">
        <f t="shared" si="21"/>
        <v>0</v>
      </c>
      <c r="BT28" s="3"/>
      <c r="BU28" s="3">
        <f t="shared" si="22"/>
        <v>1</v>
      </c>
      <c r="BV28" s="3">
        <f t="shared" si="23"/>
        <v>0</v>
      </c>
      <c r="BW28" s="3">
        <f t="shared" si="24"/>
        <v>0</v>
      </c>
      <c r="BX28" s="3">
        <f t="shared" si="25"/>
        <v>0</v>
      </c>
      <c r="BY28" s="3">
        <f t="shared" si="26"/>
        <v>0</v>
      </c>
      <c r="BZ28" s="3">
        <f t="shared" si="27"/>
        <v>0</v>
      </c>
      <c r="CA28" s="3">
        <f t="shared" si="28"/>
        <v>0</v>
      </c>
      <c r="CB28" s="3">
        <f t="shared" si="29"/>
        <v>0</v>
      </c>
      <c r="CC28" s="3">
        <f t="shared" si="30"/>
        <v>0</v>
      </c>
      <c r="CD28" s="3">
        <f t="shared" si="31"/>
        <v>0</v>
      </c>
      <c r="CE28" s="3">
        <f t="shared" si="32"/>
        <v>0</v>
      </c>
      <c r="CF28" s="3">
        <f t="shared" si="33"/>
        <v>0</v>
      </c>
      <c r="CG28" s="3">
        <f t="shared" si="34"/>
        <v>1</v>
      </c>
      <c r="CH28" s="3">
        <f t="shared" si="35"/>
        <v>1</v>
      </c>
      <c r="CI28" s="3"/>
      <c r="CJ28" s="3">
        <f t="shared" si="36"/>
        <v>13.690000000000001</v>
      </c>
      <c r="CK28" s="3">
        <f t="shared" si="37"/>
        <v>32.49</v>
      </c>
      <c r="CL28" s="3">
        <f t="shared" si="62"/>
        <v>444.78810000000004</v>
      </c>
      <c r="CM28" s="3">
        <f t="shared" si="63"/>
        <v>21.09</v>
      </c>
      <c r="CN28" s="10">
        <f t="shared" si="38"/>
        <v>3.0999999999999996</v>
      </c>
      <c r="CO28" s="3">
        <f t="shared" si="39"/>
        <v>69.512333333333331</v>
      </c>
      <c r="CP28" s="3">
        <f t="shared" si="64"/>
        <v>69.512333333333331</v>
      </c>
      <c r="CQ28" s="3">
        <f t="shared" si="40"/>
        <v>1</v>
      </c>
      <c r="CR28" s="3">
        <f t="shared" si="41"/>
        <v>0.5</v>
      </c>
      <c r="CS28" s="3"/>
      <c r="CT28" s="3">
        <f t="shared" si="42"/>
        <v>53.781333333333329</v>
      </c>
      <c r="CU28" s="3">
        <f t="shared" si="65"/>
        <v>53.781333333333329</v>
      </c>
      <c r="CV28" s="3"/>
      <c r="CW28" s="3"/>
      <c r="CX28" s="3"/>
      <c r="DD28" t="e">
        <f t="shared" si="43"/>
        <v>#VALUE!</v>
      </c>
      <c r="DE28" t="e">
        <f t="shared" si="44"/>
        <v>#VALUE!</v>
      </c>
      <c r="DF28" t="e">
        <f t="shared" si="45"/>
        <v>#VALUE!</v>
      </c>
      <c r="DG28">
        <f t="shared" si="46"/>
        <v>4.3889999999999993</v>
      </c>
      <c r="DH28">
        <f t="shared" si="47"/>
        <v>33.839999999999996</v>
      </c>
      <c r="DI28">
        <f t="shared" si="48"/>
        <v>191.3156784</v>
      </c>
      <c r="DJ28">
        <f t="shared" si="49"/>
        <v>286.97351759999998</v>
      </c>
      <c r="DK28">
        <f t="shared" si="50"/>
        <v>510.17514239999997</v>
      </c>
      <c r="DL28">
        <f t="shared" si="66"/>
        <v>23.25</v>
      </c>
      <c r="DN28">
        <f t="shared" si="51"/>
        <v>765.26271359999998</v>
      </c>
      <c r="DP28">
        <f t="shared" si="52"/>
        <v>0</v>
      </c>
      <c r="DQ28">
        <f t="shared" si="53"/>
        <v>0</v>
      </c>
      <c r="DR28">
        <f t="shared" si="54"/>
        <v>0</v>
      </c>
      <c r="DU28" t="e">
        <f t="shared" si="55"/>
        <v>#VALUE!</v>
      </c>
    </row>
    <row r="29" spans="1:125" ht="17.25" x14ac:dyDescent="0.3">
      <c r="A29" s="72">
        <f t="shared" si="4"/>
        <v>4.41</v>
      </c>
      <c r="B29" s="113"/>
      <c r="C29" s="28"/>
      <c r="D29" s="118">
        <v>8</v>
      </c>
      <c r="E29" s="72"/>
      <c r="F29" s="113"/>
      <c r="G29" s="113"/>
      <c r="H29" s="113"/>
      <c r="I29" s="314"/>
      <c r="J29" s="142" t="s">
        <v>197</v>
      </c>
      <c r="K29" s="213">
        <v>1</v>
      </c>
      <c r="L29" s="72"/>
      <c r="M29" s="27">
        <f t="shared" si="69"/>
        <v>0</v>
      </c>
      <c r="N29" s="118">
        <v>2.1</v>
      </c>
      <c r="O29" s="72">
        <v>2.1</v>
      </c>
      <c r="P29" s="72">
        <v>2.8</v>
      </c>
      <c r="Q29" s="72">
        <v>0.2</v>
      </c>
      <c r="R29" s="72">
        <v>0.3</v>
      </c>
      <c r="S29" s="222">
        <f t="shared" si="70"/>
        <v>12.347999999999999</v>
      </c>
      <c r="T29" s="290">
        <f t="shared" si="79"/>
        <v>4.7039999999999997</v>
      </c>
      <c r="U29" s="290">
        <f t="shared" si="80"/>
        <v>4.9799999999999995</v>
      </c>
      <c r="V29" s="290">
        <f t="shared" si="81"/>
        <v>1269.8999999999999</v>
      </c>
      <c r="W29" s="48"/>
      <c r="X29" s="15" t="s">
        <v>28</v>
      </c>
      <c r="Y29" s="14" t="str">
        <f t="shared" si="71"/>
        <v>ŽB. šachta</v>
      </c>
      <c r="Z29" s="16">
        <v>1</v>
      </c>
      <c r="AA29" s="16" t="s">
        <v>216</v>
      </c>
      <c r="AB29" s="181" t="s">
        <v>16</v>
      </c>
      <c r="AC29" s="260" t="str">
        <f t="shared" si="5"/>
        <v>Š11</v>
      </c>
      <c r="AD29" s="263">
        <f t="shared" si="72"/>
        <v>1</v>
      </c>
      <c r="AE29" s="37" t="s">
        <v>217</v>
      </c>
      <c r="AF29" s="48" t="s">
        <v>249</v>
      </c>
      <c r="AG29" s="48">
        <f t="shared" si="6"/>
        <v>30.379999999999995</v>
      </c>
      <c r="AH29" s="48">
        <f t="shared" si="73"/>
        <v>0</v>
      </c>
      <c r="AI29" s="24" t="s">
        <v>217</v>
      </c>
      <c r="AJ29" s="307">
        <f t="shared" si="82"/>
        <v>64.679999999999993</v>
      </c>
      <c r="AK29" s="255" t="str">
        <f t="shared" si="74"/>
        <v>Š11</v>
      </c>
      <c r="AL29" s="28" t="s">
        <v>22</v>
      </c>
      <c r="AM29" s="25">
        <f t="shared" si="8"/>
        <v>55.86</v>
      </c>
      <c r="AN29" s="56">
        <f t="shared" si="57"/>
        <v>10.889999999999999</v>
      </c>
      <c r="AO29" s="251" t="s">
        <v>22</v>
      </c>
      <c r="AP29" s="194">
        <f t="shared" si="75"/>
        <v>2.9930000000000039</v>
      </c>
      <c r="AQ29" s="208" t="s">
        <v>184</v>
      </c>
      <c r="AR29" s="203">
        <f t="shared" si="58"/>
        <v>27.93</v>
      </c>
      <c r="AS29" s="189"/>
      <c r="AT29" s="198">
        <f t="shared" si="9"/>
        <v>0</v>
      </c>
      <c r="AU29" s="199">
        <f t="shared" si="10"/>
        <v>13.067999999999998</v>
      </c>
      <c r="AV29" s="222">
        <f t="shared" si="11"/>
        <v>1.6334999999999997</v>
      </c>
      <c r="AW29" s="118"/>
      <c r="AX29" s="103">
        <f t="shared" si="12"/>
        <v>1.2</v>
      </c>
      <c r="AY29" s="192">
        <f t="shared" si="13"/>
        <v>10.889999999999999</v>
      </c>
      <c r="AZ29" s="192">
        <v>1</v>
      </c>
      <c r="BA29" s="192">
        <f t="shared" si="76"/>
        <v>37.025999999999989</v>
      </c>
      <c r="BB29" s="113">
        <f t="shared" si="77"/>
        <v>108</v>
      </c>
      <c r="BC29" s="113">
        <f t="shared" si="59"/>
        <v>0</v>
      </c>
      <c r="BD29" s="270">
        <f t="shared" si="67"/>
        <v>0</v>
      </c>
      <c r="BE29" s="228">
        <f t="shared" si="60"/>
        <v>23.044499999999992</v>
      </c>
      <c r="BF29" s="268">
        <v>1</v>
      </c>
      <c r="BG29" s="268">
        <f t="shared" si="84"/>
        <v>1.3</v>
      </c>
      <c r="BH29" s="118">
        <v>6</v>
      </c>
      <c r="BI29" s="72">
        <f t="shared" si="68"/>
        <v>90</v>
      </c>
      <c r="BJ29" s="256" t="str">
        <f t="shared" si="78"/>
        <v>Š11</v>
      </c>
      <c r="BK29" s="230">
        <f t="shared" si="83"/>
        <v>3.9000000000000004</v>
      </c>
      <c r="BL29" s="3">
        <f t="shared" si="14"/>
        <v>1</v>
      </c>
      <c r="BM29" s="3">
        <f t="shared" si="15"/>
        <v>1</v>
      </c>
      <c r="BN29" s="10">
        <f t="shared" si="16"/>
        <v>0</v>
      </c>
      <c r="BO29" s="3">
        <f t="shared" si="17"/>
        <v>0</v>
      </c>
      <c r="BP29" s="3">
        <f t="shared" si="18"/>
        <v>0</v>
      </c>
      <c r="BQ29" s="3">
        <f t="shared" si="19"/>
        <v>1</v>
      </c>
      <c r="BR29" s="3">
        <f t="shared" si="20"/>
        <v>0</v>
      </c>
      <c r="BS29" s="3">
        <f t="shared" si="21"/>
        <v>0</v>
      </c>
      <c r="BT29" s="3"/>
      <c r="BU29" s="3">
        <f t="shared" si="22"/>
        <v>1</v>
      </c>
      <c r="BV29" s="3">
        <f t="shared" si="23"/>
        <v>0</v>
      </c>
      <c r="BW29" s="3">
        <f t="shared" si="24"/>
        <v>0</v>
      </c>
      <c r="BX29" s="3">
        <f t="shared" si="25"/>
        <v>0</v>
      </c>
      <c r="BY29" s="3">
        <f t="shared" si="26"/>
        <v>0</v>
      </c>
      <c r="BZ29" s="3">
        <f t="shared" si="27"/>
        <v>0</v>
      </c>
      <c r="CA29" s="3">
        <f t="shared" si="28"/>
        <v>0</v>
      </c>
      <c r="CB29" s="3">
        <f t="shared" si="29"/>
        <v>0</v>
      </c>
      <c r="CC29" s="3">
        <f t="shared" si="30"/>
        <v>0</v>
      </c>
      <c r="CD29" s="3">
        <f t="shared" si="31"/>
        <v>0</v>
      </c>
      <c r="CE29" s="3">
        <f t="shared" si="32"/>
        <v>0</v>
      </c>
      <c r="CF29" s="3">
        <f t="shared" si="33"/>
        <v>0</v>
      </c>
      <c r="CG29" s="3">
        <f t="shared" si="34"/>
        <v>1</v>
      </c>
      <c r="CH29" s="3">
        <f t="shared" si="35"/>
        <v>1</v>
      </c>
      <c r="CI29" s="3"/>
      <c r="CJ29" s="3">
        <f t="shared" si="36"/>
        <v>13.690000000000001</v>
      </c>
      <c r="CK29" s="3">
        <f t="shared" si="37"/>
        <v>32.49</v>
      </c>
      <c r="CL29" s="3">
        <f t="shared" si="62"/>
        <v>444.78810000000004</v>
      </c>
      <c r="CM29" s="3">
        <f t="shared" si="63"/>
        <v>21.09</v>
      </c>
      <c r="CN29" s="10">
        <f t="shared" si="38"/>
        <v>3.0999999999999996</v>
      </c>
      <c r="CO29" s="3">
        <f t="shared" si="39"/>
        <v>69.512333333333331</v>
      </c>
      <c r="CP29" s="3">
        <f t="shared" si="64"/>
        <v>69.512333333333331</v>
      </c>
      <c r="CQ29" s="3">
        <f t="shared" si="40"/>
        <v>1</v>
      </c>
      <c r="CR29" s="3">
        <f t="shared" si="41"/>
        <v>0.5</v>
      </c>
      <c r="CS29" s="3"/>
      <c r="CT29" s="3">
        <f t="shared" si="42"/>
        <v>53.781333333333329</v>
      </c>
      <c r="CU29" s="3">
        <f t="shared" si="65"/>
        <v>53.781333333333329</v>
      </c>
      <c r="CV29" s="3"/>
      <c r="CW29" s="3"/>
      <c r="CX29" s="3"/>
      <c r="DD29" t="e">
        <f t="shared" si="43"/>
        <v>#VALUE!</v>
      </c>
      <c r="DE29" t="e">
        <f t="shared" si="44"/>
        <v>#VALUE!</v>
      </c>
      <c r="DF29" t="e">
        <f t="shared" si="45"/>
        <v>#VALUE!</v>
      </c>
      <c r="DG29">
        <f t="shared" si="46"/>
        <v>4.3889999999999993</v>
      </c>
      <c r="DH29">
        <f t="shared" si="47"/>
        <v>33.839999999999996</v>
      </c>
      <c r="DI29">
        <f t="shared" si="48"/>
        <v>191.3156784</v>
      </c>
      <c r="DJ29">
        <f t="shared" si="49"/>
        <v>286.97351759999998</v>
      </c>
      <c r="DK29">
        <f t="shared" si="50"/>
        <v>510.17514239999997</v>
      </c>
      <c r="DL29">
        <f t="shared" si="66"/>
        <v>23.25</v>
      </c>
      <c r="DN29">
        <f t="shared" si="51"/>
        <v>765.26271359999998</v>
      </c>
      <c r="DP29">
        <f t="shared" si="52"/>
        <v>0</v>
      </c>
      <c r="DQ29">
        <f t="shared" si="53"/>
        <v>0</v>
      </c>
      <c r="DR29">
        <f t="shared" si="54"/>
        <v>0</v>
      </c>
      <c r="DU29" t="e">
        <f t="shared" si="55"/>
        <v>#VALUE!</v>
      </c>
    </row>
    <row r="30" spans="1:125" ht="17.25" x14ac:dyDescent="0.3">
      <c r="A30" s="72"/>
      <c r="B30" s="113"/>
      <c r="C30" s="28"/>
      <c r="D30" s="118">
        <v>2</v>
      </c>
      <c r="E30" s="72"/>
      <c r="F30" s="113">
        <v>4</v>
      </c>
      <c r="G30" s="113"/>
      <c r="H30" s="113"/>
      <c r="I30" s="314"/>
      <c r="J30" s="142" t="s">
        <v>140</v>
      </c>
      <c r="K30" s="213">
        <v>1</v>
      </c>
      <c r="L30" s="72"/>
      <c r="M30" s="27">
        <f t="shared" si="69"/>
        <v>0</v>
      </c>
      <c r="N30" s="118">
        <v>2.1</v>
      </c>
      <c r="O30" s="72">
        <v>2.1</v>
      </c>
      <c r="P30" s="72">
        <v>2.8</v>
      </c>
      <c r="Q30" s="72">
        <v>0.2</v>
      </c>
      <c r="R30" s="72">
        <v>0.3</v>
      </c>
      <c r="S30" s="222">
        <f t="shared" si="70"/>
        <v>12.347999999999999</v>
      </c>
      <c r="T30" s="290">
        <f t="shared" si="79"/>
        <v>4.7039999999999997</v>
      </c>
      <c r="U30" s="290">
        <f t="shared" si="80"/>
        <v>4.9799999999999995</v>
      </c>
      <c r="V30" s="290">
        <f t="shared" si="81"/>
        <v>1269.8999999999999</v>
      </c>
      <c r="W30" s="48"/>
      <c r="X30" s="15" t="s">
        <v>28</v>
      </c>
      <c r="Y30" s="14" t="str">
        <f t="shared" si="71"/>
        <v>ŽB. šachta</v>
      </c>
      <c r="Z30" s="16">
        <v>1</v>
      </c>
      <c r="AA30" s="16" t="s">
        <v>216</v>
      </c>
      <c r="AB30" s="181" t="s">
        <v>16</v>
      </c>
      <c r="AC30" s="260" t="str">
        <f t="shared" si="5"/>
        <v>Š12</v>
      </c>
      <c r="AD30" s="263">
        <f t="shared" si="72"/>
        <v>1</v>
      </c>
      <c r="AE30" s="37" t="s">
        <v>217</v>
      </c>
      <c r="AF30" s="48" t="s">
        <v>249</v>
      </c>
      <c r="AG30" s="48">
        <f t="shared" si="6"/>
        <v>30.379999999999995</v>
      </c>
      <c r="AH30" s="48">
        <f t="shared" si="73"/>
        <v>0</v>
      </c>
      <c r="AI30" s="24" t="s">
        <v>217</v>
      </c>
      <c r="AJ30" s="307">
        <f t="shared" si="82"/>
        <v>64.679999999999993</v>
      </c>
      <c r="AK30" s="255" t="str">
        <f t="shared" si="74"/>
        <v>Š12</v>
      </c>
      <c r="AL30" s="28" t="s">
        <v>22</v>
      </c>
      <c r="AM30" s="25">
        <f t="shared" si="8"/>
        <v>55.86</v>
      </c>
      <c r="AN30" s="56">
        <f t="shared" si="57"/>
        <v>10.889999999999999</v>
      </c>
      <c r="AO30" s="251" t="s">
        <v>22</v>
      </c>
      <c r="AP30" s="194">
        <f t="shared" si="75"/>
        <v>2.9930000000000039</v>
      </c>
      <c r="AQ30" s="208" t="s">
        <v>184</v>
      </c>
      <c r="AR30" s="203">
        <f t="shared" si="58"/>
        <v>27.93</v>
      </c>
      <c r="AS30" s="189"/>
      <c r="AT30" s="198">
        <f t="shared" si="9"/>
        <v>0</v>
      </c>
      <c r="AU30" s="199">
        <f t="shared" si="10"/>
        <v>13.067999999999998</v>
      </c>
      <c r="AV30" s="222">
        <f t="shared" si="11"/>
        <v>1.6334999999999997</v>
      </c>
      <c r="AW30" s="118"/>
      <c r="AX30" s="103">
        <f t="shared" si="12"/>
        <v>1.2</v>
      </c>
      <c r="AY30" s="192">
        <f t="shared" si="13"/>
        <v>10.889999999999999</v>
      </c>
      <c r="AZ30" s="192">
        <v>1</v>
      </c>
      <c r="BA30" s="192">
        <f t="shared" si="76"/>
        <v>37.025999999999989</v>
      </c>
      <c r="BB30" s="113">
        <f t="shared" si="77"/>
        <v>108</v>
      </c>
      <c r="BC30" s="113">
        <f t="shared" si="59"/>
        <v>0</v>
      </c>
      <c r="BD30" s="270">
        <f t="shared" si="67"/>
        <v>0</v>
      </c>
      <c r="BE30" s="228">
        <f t="shared" si="60"/>
        <v>23.044499999999992</v>
      </c>
      <c r="BF30" s="268">
        <v>1</v>
      </c>
      <c r="BG30" s="268">
        <f t="shared" si="84"/>
        <v>1.3</v>
      </c>
      <c r="BH30" s="118">
        <v>6</v>
      </c>
      <c r="BI30" s="72">
        <f t="shared" si="68"/>
        <v>90</v>
      </c>
      <c r="BJ30" s="256" t="str">
        <f t="shared" si="78"/>
        <v>Š12</v>
      </c>
      <c r="BK30" s="230">
        <f t="shared" si="83"/>
        <v>3.9000000000000004</v>
      </c>
      <c r="BL30" s="3">
        <f t="shared" ref="BL30:BL98" si="86">IF(AE30="ANO",1,0)</f>
        <v>1</v>
      </c>
      <c r="BM30" s="3">
        <f t="shared" ref="BM30:BM98" si="87">IF(AI30="ANO",1,0)</f>
        <v>1</v>
      </c>
      <c r="BN30" s="10">
        <f t="shared" si="16"/>
        <v>1</v>
      </c>
      <c r="BO30" s="3">
        <f t="shared" si="17"/>
        <v>0</v>
      </c>
      <c r="BP30" s="3">
        <f t="shared" si="18"/>
        <v>0</v>
      </c>
      <c r="BQ30" s="3">
        <f t="shared" si="19"/>
        <v>1</v>
      </c>
      <c r="BR30" s="3">
        <f t="shared" si="20"/>
        <v>0</v>
      </c>
      <c r="BS30" s="3">
        <f t="shared" si="21"/>
        <v>0</v>
      </c>
      <c r="BT30" s="3"/>
      <c r="BU30" s="3">
        <f t="shared" si="22"/>
        <v>0</v>
      </c>
      <c r="BV30" s="3">
        <f t="shared" si="23"/>
        <v>0</v>
      </c>
      <c r="BW30" s="3">
        <f t="shared" si="24"/>
        <v>0</v>
      </c>
      <c r="BX30" s="3">
        <f t="shared" si="25"/>
        <v>0</v>
      </c>
      <c r="BY30" s="3">
        <f t="shared" si="26"/>
        <v>0</v>
      </c>
      <c r="BZ30" s="3">
        <f t="shared" si="27"/>
        <v>0</v>
      </c>
      <c r="CA30" s="3">
        <f t="shared" si="28"/>
        <v>0</v>
      </c>
      <c r="CB30" s="3">
        <f t="shared" si="29"/>
        <v>0</v>
      </c>
      <c r="CC30" s="3">
        <f t="shared" si="30"/>
        <v>0</v>
      </c>
      <c r="CD30" s="3">
        <f t="shared" si="31"/>
        <v>0</v>
      </c>
      <c r="CE30" s="3">
        <f t="shared" si="32"/>
        <v>0</v>
      </c>
      <c r="CF30" s="3">
        <f t="shared" si="33"/>
        <v>0</v>
      </c>
      <c r="CG30" s="3">
        <f t="shared" ref="CG30:CG98" si="88">IF(AL30="ANO",1,0)</f>
        <v>1</v>
      </c>
      <c r="CH30" s="3">
        <f t="shared" ref="CH30:CH98" si="89">IF(AO30="ANO",1,0)</f>
        <v>1</v>
      </c>
      <c r="CI30" s="3"/>
      <c r="CJ30" s="3">
        <f t="shared" si="36"/>
        <v>13.690000000000001</v>
      </c>
      <c r="CK30" s="3">
        <f t="shared" si="37"/>
        <v>32.49</v>
      </c>
      <c r="CL30" s="3">
        <f t="shared" ref="CL30:CL98" si="90">CJ30*CK30</f>
        <v>444.78810000000004</v>
      </c>
      <c r="CM30" s="3">
        <f t="shared" ref="CM30:CM98" si="91">SQRT(CL30)</f>
        <v>21.09</v>
      </c>
      <c r="CN30" s="10">
        <f t="shared" si="38"/>
        <v>3.0999999999999996</v>
      </c>
      <c r="CO30" s="3">
        <f t="shared" si="39"/>
        <v>69.512333333333331</v>
      </c>
      <c r="CP30" s="3">
        <f t="shared" ref="CP30:CP98" si="92">CO30*CQ30</f>
        <v>69.512333333333331</v>
      </c>
      <c r="CQ30" s="3">
        <f t="shared" ref="CQ30:CQ98" si="93">IF(AA30="nástupiště",CR30,1)</f>
        <v>1</v>
      </c>
      <c r="CR30" s="3">
        <f t="shared" si="41"/>
        <v>0.5</v>
      </c>
      <c r="CS30" s="3"/>
      <c r="CT30" s="3">
        <f t="shared" si="42"/>
        <v>53.781333333333329</v>
      </c>
      <c r="CU30" s="3">
        <f t="shared" ref="CU30:CU98" si="94">IF(CT30&gt;0,CT30,0)</f>
        <v>53.781333333333329</v>
      </c>
      <c r="CV30" s="3"/>
      <c r="CW30" s="3"/>
      <c r="CX30" s="3"/>
    </row>
    <row r="31" spans="1:125" ht="17.25" x14ac:dyDescent="0.3">
      <c r="A31" s="72">
        <f t="shared" si="4"/>
        <v>4.41</v>
      </c>
      <c r="B31" s="113"/>
      <c r="C31" s="28"/>
      <c r="D31" s="118"/>
      <c r="E31" s="72"/>
      <c r="F31" s="113">
        <v>2</v>
      </c>
      <c r="G31" s="113"/>
      <c r="H31" s="113"/>
      <c r="I31" s="315"/>
      <c r="J31" s="142" t="s">
        <v>198</v>
      </c>
      <c r="K31" s="213">
        <v>1</v>
      </c>
      <c r="L31" s="72"/>
      <c r="M31" s="27">
        <f t="shared" si="69"/>
        <v>0</v>
      </c>
      <c r="N31" s="118">
        <v>2.1</v>
      </c>
      <c r="O31" s="72">
        <v>2.1</v>
      </c>
      <c r="P31" s="72">
        <v>2.8</v>
      </c>
      <c r="Q31" s="72">
        <v>0.2</v>
      </c>
      <c r="R31" s="72">
        <v>0.3</v>
      </c>
      <c r="S31" s="222">
        <f t="shared" si="70"/>
        <v>12.347999999999999</v>
      </c>
      <c r="T31" s="290">
        <f t="shared" si="79"/>
        <v>4.7039999999999997</v>
      </c>
      <c r="U31" s="290">
        <f t="shared" si="80"/>
        <v>4.9799999999999995</v>
      </c>
      <c r="V31" s="290">
        <f t="shared" si="81"/>
        <v>1269.8999999999999</v>
      </c>
      <c r="W31" s="48"/>
      <c r="X31" s="15" t="s">
        <v>28</v>
      </c>
      <c r="Y31" s="14" t="str">
        <f t="shared" si="71"/>
        <v>ŽB. šachta</v>
      </c>
      <c r="Z31" s="16">
        <v>1</v>
      </c>
      <c r="AA31" s="16" t="s">
        <v>216</v>
      </c>
      <c r="AB31" s="181" t="s">
        <v>16</v>
      </c>
      <c r="AC31" s="260" t="str">
        <f t="shared" si="5"/>
        <v>Š13</v>
      </c>
      <c r="AD31" s="263">
        <f t="shared" si="72"/>
        <v>1</v>
      </c>
      <c r="AE31" s="37" t="s">
        <v>217</v>
      </c>
      <c r="AF31" s="48" t="s">
        <v>249</v>
      </c>
      <c r="AG31" s="48">
        <f t="shared" si="6"/>
        <v>30.379999999999995</v>
      </c>
      <c r="AH31" s="48">
        <f t="shared" si="73"/>
        <v>0</v>
      </c>
      <c r="AI31" s="24" t="s">
        <v>217</v>
      </c>
      <c r="AJ31" s="307">
        <f t="shared" si="82"/>
        <v>64.679999999999993</v>
      </c>
      <c r="AK31" s="255" t="str">
        <f t="shared" si="74"/>
        <v>Š13</v>
      </c>
      <c r="AL31" s="28" t="s">
        <v>22</v>
      </c>
      <c r="AM31" s="25">
        <f t="shared" si="8"/>
        <v>55.86</v>
      </c>
      <c r="AN31" s="56">
        <f t="shared" si="57"/>
        <v>10.889999999999999</v>
      </c>
      <c r="AO31" s="251" t="s">
        <v>22</v>
      </c>
      <c r="AP31" s="194">
        <f t="shared" si="75"/>
        <v>2.9930000000000039</v>
      </c>
      <c r="AQ31" s="208" t="s">
        <v>184</v>
      </c>
      <c r="AR31" s="203">
        <f t="shared" si="58"/>
        <v>27.93</v>
      </c>
      <c r="AS31" s="189"/>
      <c r="AT31" s="198">
        <f t="shared" si="9"/>
        <v>0</v>
      </c>
      <c r="AU31" s="199">
        <f t="shared" si="10"/>
        <v>13.067999999999998</v>
      </c>
      <c r="AV31" s="222">
        <f t="shared" si="11"/>
        <v>1.6334999999999997</v>
      </c>
      <c r="AW31" s="118"/>
      <c r="AX31" s="103">
        <f t="shared" si="12"/>
        <v>1.2</v>
      </c>
      <c r="AY31" s="192">
        <f t="shared" si="13"/>
        <v>10.889999999999999</v>
      </c>
      <c r="AZ31" s="192">
        <v>1</v>
      </c>
      <c r="BA31" s="192">
        <f t="shared" si="76"/>
        <v>37.025999999999989</v>
      </c>
      <c r="BB31" s="113">
        <f t="shared" si="77"/>
        <v>108</v>
      </c>
      <c r="BC31" s="113">
        <f t="shared" si="59"/>
        <v>0</v>
      </c>
      <c r="BD31" s="270">
        <f t="shared" si="67"/>
        <v>0</v>
      </c>
      <c r="BE31" s="228">
        <f t="shared" si="60"/>
        <v>23.044499999999992</v>
      </c>
      <c r="BF31" s="268">
        <v>1</v>
      </c>
      <c r="BG31" s="268">
        <f t="shared" si="84"/>
        <v>1.3</v>
      </c>
      <c r="BH31" s="118">
        <v>6</v>
      </c>
      <c r="BI31" s="72">
        <f t="shared" si="68"/>
        <v>90</v>
      </c>
      <c r="BJ31" s="256" t="str">
        <f t="shared" si="78"/>
        <v>Š13</v>
      </c>
      <c r="BK31" s="230">
        <f t="shared" si="83"/>
        <v>3.9000000000000004</v>
      </c>
      <c r="BL31" s="3">
        <f t="shared" si="86"/>
        <v>1</v>
      </c>
      <c r="BM31" s="3">
        <f t="shared" si="87"/>
        <v>1</v>
      </c>
      <c r="BN31" s="10">
        <f t="shared" si="16"/>
        <v>0</v>
      </c>
      <c r="BO31" s="3">
        <f t="shared" si="17"/>
        <v>0</v>
      </c>
      <c r="BP31" s="3">
        <f t="shared" si="18"/>
        <v>0</v>
      </c>
      <c r="BQ31" s="3">
        <f t="shared" si="19"/>
        <v>1</v>
      </c>
      <c r="BR31" s="3">
        <f t="shared" si="20"/>
        <v>0</v>
      </c>
      <c r="BS31" s="3">
        <f t="shared" si="21"/>
        <v>0</v>
      </c>
      <c r="BT31" s="3"/>
      <c r="BU31" s="3">
        <f t="shared" si="22"/>
        <v>1</v>
      </c>
      <c r="BV31" s="3">
        <f t="shared" si="23"/>
        <v>0</v>
      </c>
      <c r="BW31" s="3">
        <f t="shared" si="24"/>
        <v>0</v>
      </c>
      <c r="BX31" s="3">
        <f t="shared" si="25"/>
        <v>0</v>
      </c>
      <c r="BY31" s="3">
        <f t="shared" si="26"/>
        <v>0</v>
      </c>
      <c r="BZ31" s="3">
        <f t="shared" si="27"/>
        <v>0</v>
      </c>
      <c r="CA31" s="3">
        <f t="shared" si="28"/>
        <v>0</v>
      </c>
      <c r="CB31" s="3">
        <f t="shared" si="29"/>
        <v>0</v>
      </c>
      <c r="CC31" s="3">
        <f t="shared" si="30"/>
        <v>0</v>
      </c>
      <c r="CD31" s="3">
        <f t="shared" si="31"/>
        <v>0</v>
      </c>
      <c r="CE31" s="3">
        <f t="shared" si="32"/>
        <v>0</v>
      </c>
      <c r="CF31" s="3">
        <f t="shared" si="33"/>
        <v>0</v>
      </c>
      <c r="CG31" s="3">
        <f t="shared" si="88"/>
        <v>1</v>
      </c>
      <c r="CH31" s="3">
        <f t="shared" si="89"/>
        <v>1</v>
      </c>
      <c r="CI31" s="3"/>
      <c r="CJ31" s="3">
        <f t="shared" si="36"/>
        <v>13.690000000000001</v>
      </c>
      <c r="CK31" s="3">
        <f t="shared" si="37"/>
        <v>32.49</v>
      </c>
      <c r="CL31" s="3">
        <f t="shared" si="90"/>
        <v>444.78810000000004</v>
      </c>
      <c r="CM31" s="3">
        <f t="shared" si="91"/>
        <v>21.09</v>
      </c>
      <c r="CN31" s="10">
        <f t="shared" si="38"/>
        <v>3.0999999999999996</v>
      </c>
      <c r="CO31" s="3">
        <f t="shared" si="39"/>
        <v>69.512333333333331</v>
      </c>
      <c r="CP31" s="3">
        <f t="shared" si="92"/>
        <v>69.512333333333331</v>
      </c>
      <c r="CQ31" s="3">
        <f t="shared" si="93"/>
        <v>1</v>
      </c>
      <c r="CR31" s="3">
        <f t="shared" si="41"/>
        <v>0.5</v>
      </c>
      <c r="CS31" s="3"/>
      <c r="CT31" s="3">
        <f t="shared" si="42"/>
        <v>53.781333333333329</v>
      </c>
      <c r="CU31" s="3">
        <f t="shared" si="94"/>
        <v>53.781333333333329</v>
      </c>
      <c r="CV31" s="3"/>
      <c r="CW31" s="3"/>
      <c r="CX31" s="3"/>
      <c r="DD31" t="e">
        <f>(N31+0.5+AE31/1.5)*(O31+0.9+AE31/1.5)*(P31+0.1-AE31)</f>
        <v>#VALUE!</v>
      </c>
      <c r="DE31" t="e">
        <f>(N31+0.5+(0.35*AE31))*(O31+0.9+(0.35*AE31))*AE31</f>
        <v>#VALUE!</v>
      </c>
      <c r="DF31" t="e">
        <f>K31*((2*N31*(P31-AC31))+(2*O31*(P31-AC31))+(N31+0.25)*(O31+0.25))</f>
        <v>#VALUE!</v>
      </c>
      <c r="DG31">
        <f>((N31*O31*(P31-R31)-((N31-Q31*2)*(O31-Q31*2)*(P31-Q31*2))+((R31*1.1*1.4)-(R31*0.6*0.9)))*K31)</f>
        <v>4.3889999999999993</v>
      </c>
      <c r="DH31">
        <f>(2*N31*O31+2*N31*P31+2*O31*P31)+(2*R31*1.1+2*R31*1.4)</f>
        <v>33.839999999999996</v>
      </c>
      <c r="DI31">
        <f>2*(2*N31*O31+2*N31*P31+2*O31*P31)*7850*2*(0.003*0.003*3.14)*(1000/150)</f>
        <v>191.3156784</v>
      </c>
      <c r="DJ31">
        <f>2*(2*N31*O31+2*N31*P31+2*O31*P31)*7850*2*(0.003*0.003*3.14)*(1000/100)</f>
        <v>286.97351759999998</v>
      </c>
      <c r="DK31">
        <f>2*(2*N31*O31+2*N31*P31+2*O31*P31)*7850*2*(0.004*0.004*3.14)*(1000/100)</f>
        <v>510.17514239999997</v>
      </c>
      <c r="DL31">
        <f>(N31+1.5)*(P31+R31)+(O31+1.8)*(P31+R31)</f>
        <v>23.25</v>
      </c>
      <c r="DN31">
        <f>2*(2*N31*O31+2*N31*P31+2*O31*P31)*7850*2*(0.006*0.006*3.14)*(1000/150)</f>
        <v>765.26271359999998</v>
      </c>
      <c r="DP31">
        <f>IF(K31=0,0,(N31+0.9)*(O31+1.1))*IF(AI31=1,7850*(0.003*0.003*3.14)*(1000/150),0)</f>
        <v>0</v>
      </c>
      <c r="DQ31">
        <f>IF(K31=0,0,(N31+0.9)*(O31+1.1))*IF(AI31=2,7850*(0.003*0.003*3.14)*(1000/100),0)</f>
        <v>0</v>
      </c>
      <c r="DR31">
        <f>IF(K31=0,0,(N31+0.9)*(O31+1.1))*IF(AI31=3,7850*(0.004*0.004*3.14)*(1000/100),0)</f>
        <v>0</v>
      </c>
      <c r="DU31" t="e">
        <f>(N31+0.6+0.6+(0.25*AE31))*(O31+0.6+0.6+(0.25*AE31))*AE31</f>
        <v>#VALUE!</v>
      </c>
    </row>
    <row r="32" spans="1:125" ht="17.25" x14ac:dyDescent="0.3">
      <c r="A32" s="72"/>
      <c r="B32" s="113"/>
      <c r="C32" s="28"/>
      <c r="D32" s="118"/>
      <c r="E32" s="72"/>
      <c r="F32" s="113">
        <v>12</v>
      </c>
      <c r="G32" s="113"/>
      <c r="H32" s="113"/>
      <c r="I32" s="314"/>
      <c r="J32" s="142" t="s">
        <v>199</v>
      </c>
      <c r="K32" s="213">
        <v>1</v>
      </c>
      <c r="L32" s="72"/>
      <c r="M32" s="27">
        <f t="shared" si="69"/>
        <v>0</v>
      </c>
      <c r="N32" s="118">
        <v>2.1</v>
      </c>
      <c r="O32" s="72">
        <v>2.1</v>
      </c>
      <c r="P32" s="72">
        <v>2.8</v>
      </c>
      <c r="Q32" s="72">
        <v>0.2</v>
      </c>
      <c r="R32" s="72">
        <v>0.3</v>
      </c>
      <c r="S32" s="222">
        <f t="shared" si="70"/>
        <v>12.347999999999999</v>
      </c>
      <c r="T32" s="290">
        <f t="shared" si="79"/>
        <v>4.7039999999999997</v>
      </c>
      <c r="U32" s="290">
        <f t="shared" si="80"/>
        <v>4.9799999999999995</v>
      </c>
      <c r="V32" s="290">
        <f t="shared" si="81"/>
        <v>1269.8999999999999</v>
      </c>
      <c r="W32" s="48"/>
      <c r="X32" s="15" t="s">
        <v>28</v>
      </c>
      <c r="Y32" s="14" t="str">
        <f t="shared" si="71"/>
        <v>ŽB. šachta</v>
      </c>
      <c r="Z32" s="16">
        <v>1</v>
      </c>
      <c r="AA32" s="16" t="s">
        <v>216</v>
      </c>
      <c r="AB32" s="181" t="s">
        <v>16</v>
      </c>
      <c r="AC32" s="260" t="str">
        <f t="shared" si="5"/>
        <v>Š14</v>
      </c>
      <c r="AD32" s="263">
        <f t="shared" si="72"/>
        <v>1</v>
      </c>
      <c r="AE32" s="37" t="s">
        <v>217</v>
      </c>
      <c r="AF32" s="48" t="s">
        <v>249</v>
      </c>
      <c r="AG32" s="48">
        <f t="shared" si="6"/>
        <v>30.379999999999995</v>
      </c>
      <c r="AH32" s="48">
        <f t="shared" si="73"/>
        <v>0</v>
      </c>
      <c r="AI32" s="24" t="s">
        <v>217</v>
      </c>
      <c r="AJ32" s="307">
        <f t="shared" si="82"/>
        <v>64.679999999999993</v>
      </c>
      <c r="AK32" s="255" t="str">
        <f t="shared" si="74"/>
        <v>Š14</v>
      </c>
      <c r="AL32" s="28" t="s">
        <v>22</v>
      </c>
      <c r="AM32" s="25">
        <f t="shared" si="8"/>
        <v>55.86</v>
      </c>
      <c r="AN32" s="56">
        <f t="shared" si="57"/>
        <v>10.889999999999999</v>
      </c>
      <c r="AO32" s="251" t="s">
        <v>22</v>
      </c>
      <c r="AP32" s="194">
        <f t="shared" si="75"/>
        <v>2.9930000000000039</v>
      </c>
      <c r="AQ32" s="208" t="s">
        <v>184</v>
      </c>
      <c r="AR32" s="203">
        <f t="shared" si="58"/>
        <v>27.93</v>
      </c>
      <c r="AS32" s="189"/>
      <c r="AT32" s="198">
        <f t="shared" si="9"/>
        <v>0</v>
      </c>
      <c r="AU32" s="199">
        <f t="shared" si="10"/>
        <v>13.067999999999998</v>
      </c>
      <c r="AV32" s="222">
        <f t="shared" si="11"/>
        <v>1.6334999999999997</v>
      </c>
      <c r="AW32" s="118"/>
      <c r="AX32" s="103">
        <f t="shared" si="12"/>
        <v>1.2</v>
      </c>
      <c r="AY32" s="192">
        <f t="shared" si="13"/>
        <v>10.889999999999999</v>
      </c>
      <c r="AZ32" s="192">
        <v>1</v>
      </c>
      <c r="BA32" s="192">
        <f t="shared" si="76"/>
        <v>37.025999999999989</v>
      </c>
      <c r="BB32" s="113">
        <f t="shared" si="77"/>
        <v>108</v>
      </c>
      <c r="BC32" s="113">
        <f t="shared" si="59"/>
        <v>0</v>
      </c>
      <c r="BD32" s="270">
        <f t="shared" si="67"/>
        <v>0</v>
      </c>
      <c r="BE32" s="228">
        <f t="shared" si="60"/>
        <v>23.044499999999992</v>
      </c>
      <c r="BF32" s="268">
        <v>1</v>
      </c>
      <c r="BG32" s="268">
        <f t="shared" si="84"/>
        <v>1.3</v>
      </c>
      <c r="BH32" s="118">
        <v>6</v>
      </c>
      <c r="BI32" s="72">
        <f t="shared" si="68"/>
        <v>90</v>
      </c>
      <c r="BJ32" s="256" t="str">
        <f t="shared" si="78"/>
        <v>Š14</v>
      </c>
      <c r="BK32" s="230">
        <f t="shared" si="83"/>
        <v>3.9000000000000004</v>
      </c>
      <c r="BL32" s="3">
        <f t="shared" si="86"/>
        <v>1</v>
      </c>
      <c r="BM32" s="3">
        <f t="shared" si="87"/>
        <v>1</v>
      </c>
      <c r="BN32" s="10">
        <f t="shared" si="16"/>
        <v>1</v>
      </c>
      <c r="BO32" s="3">
        <f t="shared" si="17"/>
        <v>0</v>
      </c>
      <c r="BP32" s="3">
        <f t="shared" si="18"/>
        <v>0</v>
      </c>
      <c r="BQ32" s="3">
        <f t="shared" si="19"/>
        <v>1</v>
      </c>
      <c r="BR32" s="3">
        <f t="shared" si="20"/>
        <v>0</v>
      </c>
      <c r="BS32" s="3">
        <f t="shared" si="21"/>
        <v>0</v>
      </c>
      <c r="BT32" s="3"/>
      <c r="BU32" s="3">
        <f t="shared" si="22"/>
        <v>0</v>
      </c>
      <c r="BV32" s="3">
        <f t="shared" si="23"/>
        <v>0</v>
      </c>
      <c r="BW32" s="3">
        <f t="shared" si="24"/>
        <v>0</v>
      </c>
      <c r="BX32" s="3">
        <f t="shared" si="25"/>
        <v>0</v>
      </c>
      <c r="BY32" s="3">
        <f t="shared" si="26"/>
        <v>0</v>
      </c>
      <c r="BZ32" s="3">
        <f t="shared" si="27"/>
        <v>0</v>
      </c>
      <c r="CA32" s="3">
        <f t="shared" si="28"/>
        <v>0</v>
      </c>
      <c r="CB32" s="3">
        <f t="shared" si="29"/>
        <v>0</v>
      </c>
      <c r="CC32" s="3">
        <f t="shared" si="30"/>
        <v>0</v>
      </c>
      <c r="CD32" s="3">
        <f t="shared" si="31"/>
        <v>0</v>
      </c>
      <c r="CE32" s="3">
        <f t="shared" si="32"/>
        <v>0</v>
      </c>
      <c r="CF32" s="3">
        <f t="shared" si="33"/>
        <v>0</v>
      </c>
      <c r="CG32" s="3">
        <f t="shared" si="88"/>
        <v>1</v>
      </c>
      <c r="CH32" s="3">
        <f t="shared" si="89"/>
        <v>1</v>
      </c>
      <c r="CI32" s="3"/>
      <c r="CJ32" s="3">
        <f t="shared" si="36"/>
        <v>13.690000000000001</v>
      </c>
      <c r="CK32" s="3">
        <f t="shared" si="37"/>
        <v>32.49</v>
      </c>
      <c r="CL32" s="3">
        <f t="shared" si="90"/>
        <v>444.78810000000004</v>
      </c>
      <c r="CM32" s="3">
        <f t="shared" si="91"/>
        <v>21.09</v>
      </c>
      <c r="CN32" s="10">
        <f t="shared" si="38"/>
        <v>3.0999999999999996</v>
      </c>
      <c r="CO32" s="3">
        <f t="shared" si="39"/>
        <v>69.512333333333331</v>
      </c>
      <c r="CP32" s="3">
        <f t="shared" si="92"/>
        <v>69.512333333333331</v>
      </c>
      <c r="CQ32" s="3">
        <f t="shared" si="93"/>
        <v>1</v>
      </c>
      <c r="CR32" s="3">
        <f t="shared" si="41"/>
        <v>0.5</v>
      </c>
      <c r="CS32" s="3"/>
      <c r="CT32" s="3">
        <f t="shared" si="42"/>
        <v>53.781333333333329</v>
      </c>
      <c r="CU32" s="3">
        <f t="shared" si="94"/>
        <v>53.781333333333329</v>
      </c>
      <c r="CV32" s="3"/>
      <c r="CW32" s="3"/>
      <c r="CX32" s="3"/>
    </row>
    <row r="33" spans="1:125" ht="17.25" x14ac:dyDescent="0.3">
      <c r="A33" s="72">
        <f t="shared" ref="A33" si="95">N33*O33</f>
        <v>4.41</v>
      </c>
      <c r="B33" s="113"/>
      <c r="C33" s="28"/>
      <c r="D33" s="118">
        <v>2</v>
      </c>
      <c r="E33" s="72"/>
      <c r="F33" s="409">
        <v>2</v>
      </c>
      <c r="G33" s="113"/>
      <c r="H33" s="113"/>
      <c r="I33" s="314"/>
      <c r="J33" s="142" t="s">
        <v>200</v>
      </c>
      <c r="K33" s="213">
        <v>1</v>
      </c>
      <c r="L33" s="72"/>
      <c r="M33" s="27">
        <f>IF(K33=0,1,0)</f>
        <v>0</v>
      </c>
      <c r="N33" s="118">
        <v>2.1</v>
      </c>
      <c r="O33" s="72">
        <v>2.1</v>
      </c>
      <c r="P33" s="72">
        <v>2.8</v>
      </c>
      <c r="Q33" s="72">
        <v>0.2</v>
      </c>
      <c r="R33" s="72">
        <v>0.3</v>
      </c>
      <c r="S33" s="222">
        <f t="shared" si="70"/>
        <v>12.347999999999999</v>
      </c>
      <c r="T33" s="290">
        <f t="shared" si="79"/>
        <v>4.7039999999999997</v>
      </c>
      <c r="U33" s="290">
        <f t="shared" si="80"/>
        <v>4.9799999999999995</v>
      </c>
      <c r="V33" s="290">
        <f t="shared" si="81"/>
        <v>1269.8999999999999</v>
      </c>
      <c r="W33" s="48"/>
      <c r="X33" s="15" t="s">
        <v>28</v>
      </c>
      <c r="Y33" s="14" t="str">
        <f t="shared" si="71"/>
        <v>ŽB. šachta</v>
      </c>
      <c r="Z33" s="16">
        <v>1</v>
      </c>
      <c r="AA33" s="16" t="s">
        <v>216</v>
      </c>
      <c r="AB33" s="181" t="s">
        <v>16</v>
      </c>
      <c r="AC33" s="260" t="str">
        <f t="shared" si="5"/>
        <v>Š15</v>
      </c>
      <c r="AD33" s="263">
        <f t="shared" si="72"/>
        <v>1</v>
      </c>
      <c r="AE33" s="37" t="s">
        <v>217</v>
      </c>
      <c r="AF33" s="48" t="s">
        <v>249</v>
      </c>
      <c r="AG33" s="48">
        <f t="shared" si="6"/>
        <v>30.379999999999995</v>
      </c>
      <c r="AH33" s="48">
        <f t="shared" si="73"/>
        <v>0</v>
      </c>
      <c r="AI33" s="24" t="s">
        <v>217</v>
      </c>
      <c r="AJ33" s="307">
        <f t="shared" si="82"/>
        <v>64.679999999999993</v>
      </c>
      <c r="AK33" s="255" t="str">
        <f t="shared" si="74"/>
        <v>Š15</v>
      </c>
      <c r="AL33" s="28" t="s">
        <v>22</v>
      </c>
      <c r="AM33" s="25">
        <f t="shared" si="8"/>
        <v>55.86</v>
      </c>
      <c r="AN33" s="56">
        <f t="shared" ref="AN33" si="96">AY33</f>
        <v>10.889999999999999</v>
      </c>
      <c r="AO33" s="251" t="s">
        <v>22</v>
      </c>
      <c r="AP33" s="194">
        <f t="shared" si="75"/>
        <v>2.9930000000000039</v>
      </c>
      <c r="AQ33" s="208" t="s">
        <v>184</v>
      </c>
      <c r="AR33" s="203">
        <f t="shared" si="58"/>
        <v>27.93</v>
      </c>
      <c r="AS33" s="189"/>
      <c r="AT33" s="198">
        <f t="shared" si="9"/>
        <v>0</v>
      </c>
      <c r="AU33" s="199">
        <f t="shared" si="10"/>
        <v>13.067999999999998</v>
      </c>
      <c r="AV33" s="222">
        <f t="shared" si="11"/>
        <v>1.6334999999999997</v>
      </c>
      <c r="AW33" s="118"/>
      <c r="AX33" s="103">
        <f t="shared" si="12"/>
        <v>1.2</v>
      </c>
      <c r="AY33" s="192">
        <f t="shared" si="13"/>
        <v>10.889999999999999</v>
      </c>
      <c r="AZ33" s="192">
        <v>1</v>
      </c>
      <c r="BA33" s="192">
        <f t="shared" si="76"/>
        <v>37.025999999999989</v>
      </c>
      <c r="BB33" s="113">
        <f t="shared" si="77"/>
        <v>108</v>
      </c>
      <c r="BC33" s="113">
        <f t="shared" si="59"/>
        <v>0</v>
      </c>
      <c r="BD33" s="270">
        <f t="shared" si="67"/>
        <v>0</v>
      </c>
      <c r="BE33" s="228">
        <f t="shared" si="60"/>
        <v>23.044499999999992</v>
      </c>
      <c r="BF33" s="268">
        <v>1</v>
      </c>
      <c r="BG33" s="268">
        <f t="shared" si="84"/>
        <v>1.3</v>
      </c>
      <c r="BH33" s="118">
        <v>6</v>
      </c>
      <c r="BI33" s="72">
        <f t="shared" si="68"/>
        <v>90</v>
      </c>
      <c r="BJ33" s="256" t="str">
        <f t="shared" si="78"/>
        <v>Š15</v>
      </c>
      <c r="BK33" s="230">
        <f t="shared" si="83"/>
        <v>3.9000000000000004</v>
      </c>
      <c r="BL33" s="3">
        <f t="shared" si="86"/>
        <v>1</v>
      </c>
      <c r="BM33" s="3">
        <f t="shared" si="87"/>
        <v>1</v>
      </c>
      <c r="BN33" s="10">
        <f t="shared" si="16"/>
        <v>0</v>
      </c>
      <c r="BO33" s="3">
        <f t="shared" si="17"/>
        <v>0</v>
      </c>
      <c r="BP33" s="3">
        <f t="shared" si="18"/>
        <v>0</v>
      </c>
      <c r="BQ33" s="3">
        <f t="shared" si="19"/>
        <v>1</v>
      </c>
      <c r="BR33" s="3">
        <f t="shared" si="20"/>
        <v>0</v>
      </c>
      <c r="BS33" s="3">
        <f t="shared" si="21"/>
        <v>0</v>
      </c>
      <c r="BT33" s="3"/>
      <c r="BU33" s="3">
        <f t="shared" si="22"/>
        <v>1</v>
      </c>
      <c r="BV33" s="3">
        <f t="shared" si="23"/>
        <v>0</v>
      </c>
      <c r="BW33" s="3">
        <f t="shared" si="24"/>
        <v>0</v>
      </c>
      <c r="BX33" s="3">
        <f t="shared" si="25"/>
        <v>0</v>
      </c>
      <c r="BY33" s="3">
        <f t="shared" si="26"/>
        <v>0</v>
      </c>
      <c r="BZ33" s="3">
        <f t="shared" si="27"/>
        <v>0</v>
      </c>
      <c r="CA33" s="3">
        <f t="shared" si="28"/>
        <v>0</v>
      </c>
      <c r="CB33" s="3">
        <f t="shared" si="29"/>
        <v>0</v>
      </c>
      <c r="CC33" s="3">
        <f t="shared" si="30"/>
        <v>0</v>
      </c>
      <c r="CD33" s="3">
        <f t="shared" si="31"/>
        <v>0</v>
      </c>
      <c r="CE33" s="3">
        <f t="shared" si="32"/>
        <v>0</v>
      </c>
      <c r="CF33" s="3">
        <f t="shared" si="33"/>
        <v>0</v>
      </c>
      <c r="CG33" s="3">
        <f t="shared" si="88"/>
        <v>1</v>
      </c>
      <c r="CH33" s="3">
        <f t="shared" si="89"/>
        <v>1</v>
      </c>
      <c r="CI33" s="3"/>
      <c r="CJ33" s="3">
        <f t="shared" si="36"/>
        <v>13.690000000000001</v>
      </c>
      <c r="CK33" s="3">
        <f t="shared" si="37"/>
        <v>32.49</v>
      </c>
      <c r="CL33" s="3">
        <f t="shared" si="90"/>
        <v>444.78810000000004</v>
      </c>
      <c r="CM33" s="3">
        <f t="shared" si="91"/>
        <v>21.09</v>
      </c>
      <c r="CN33" s="10">
        <f t="shared" si="38"/>
        <v>3.0999999999999996</v>
      </c>
      <c r="CO33" s="3">
        <f t="shared" si="39"/>
        <v>69.512333333333331</v>
      </c>
      <c r="CP33" s="3">
        <f t="shared" si="92"/>
        <v>69.512333333333331</v>
      </c>
      <c r="CQ33" s="3">
        <f t="shared" si="93"/>
        <v>1</v>
      </c>
      <c r="CR33" s="3">
        <f t="shared" si="41"/>
        <v>0.5</v>
      </c>
      <c r="CS33" s="3"/>
      <c r="CT33" s="3">
        <f t="shared" si="42"/>
        <v>53.781333333333329</v>
      </c>
      <c r="CU33" s="3">
        <f t="shared" si="94"/>
        <v>53.781333333333329</v>
      </c>
      <c r="CV33" s="3"/>
      <c r="CW33" s="3"/>
      <c r="CX33" s="3"/>
      <c r="DD33" t="e">
        <f t="shared" ref="DD33:DD46" si="97">(N33+0.5+AE33/1.5)*(O33+0.9+AE33/1.5)*(P33+0.1-AE33)</f>
        <v>#VALUE!</v>
      </c>
      <c r="DE33" t="e">
        <f t="shared" ref="DE33:DE46" si="98">(N33+0.5+(0.35*AE33))*(O33+0.9+(0.35*AE33))*AE33</f>
        <v>#VALUE!</v>
      </c>
      <c r="DF33" t="e">
        <f>K33*((2*N33*(P33-AC33))+(2*O33*(P33-AC33))+(N33+0.25)*(O33+0.25))</f>
        <v>#VALUE!</v>
      </c>
      <c r="DG33">
        <f>((N33*O33*(P33-R33)-((N33-Q33*2)*(O33-Q33*2)*(P33-Q33*2))+((R33*1.1*1.4)-(R33*0.6*0.9)))*K33)</f>
        <v>4.3889999999999993</v>
      </c>
      <c r="DH33">
        <f>(2*N33*O33+2*N33*P33+2*O33*P33)+(2*R33*1.1+2*R33*1.4)</f>
        <v>33.839999999999996</v>
      </c>
      <c r="DI33">
        <f>2*(2*N33*O33+2*N33*P33+2*O33*P33)*7850*2*(0.003*0.003*3.14)*(1000/150)</f>
        <v>191.3156784</v>
      </c>
      <c r="DJ33">
        <f>2*(2*N33*O33+2*N33*P33+2*O33*P33)*7850*2*(0.003*0.003*3.14)*(1000/100)</f>
        <v>286.97351759999998</v>
      </c>
      <c r="DK33">
        <f>2*(2*N33*O33+2*N33*P33+2*O33*P33)*7850*2*(0.004*0.004*3.14)*(1000/100)</f>
        <v>510.17514239999997</v>
      </c>
      <c r="DL33">
        <f>(N33+1.5)*(P33+R33)+(O33+1.8)*(P33+R33)</f>
        <v>23.25</v>
      </c>
      <c r="DN33">
        <f>2*(2*N33*O33+2*N33*P33+2*O33*P33)*7850*2*(0.006*0.006*3.14)*(1000/150)</f>
        <v>765.26271359999998</v>
      </c>
      <c r="DP33">
        <f t="shared" ref="DP33:DP46" si="99">IF(K33=0,0,(N33+0.9)*(O33+1.1))*IF(AI33=1,7850*(0.003*0.003*3.14)*(1000/150),0)</f>
        <v>0</v>
      </c>
      <c r="DQ33">
        <f t="shared" ref="DQ33:DQ46" si="100">IF(K33=0,0,(N33+0.9)*(O33+1.1))*IF(AI33=2,7850*(0.003*0.003*3.14)*(1000/100),0)</f>
        <v>0</v>
      </c>
      <c r="DR33">
        <f t="shared" ref="DR33:DR46" si="101">IF(K33=0,0,(N33+0.9)*(O33+1.1))*IF(AI33=3,7850*(0.004*0.004*3.14)*(1000/100),0)</f>
        <v>0</v>
      </c>
      <c r="DU33" t="e">
        <f t="shared" ref="DU33:DU46" si="102">(N33+0.6+0.6+(0.25*AE33))*(O33+0.6+0.6+(0.25*AE33))*AE33</f>
        <v>#VALUE!</v>
      </c>
    </row>
    <row r="34" spans="1:125" ht="17.25" x14ac:dyDescent="0.3">
      <c r="A34" s="72">
        <f t="shared" si="4"/>
        <v>8.0499999999999989</v>
      </c>
      <c r="B34" s="113"/>
      <c r="C34" s="28"/>
      <c r="D34" s="408">
        <v>4</v>
      </c>
      <c r="E34" s="72"/>
      <c r="F34" s="113"/>
      <c r="G34" s="113"/>
      <c r="H34" s="113"/>
      <c r="I34" s="314"/>
      <c r="J34" s="142" t="s">
        <v>201</v>
      </c>
      <c r="K34" s="213">
        <v>1</v>
      </c>
      <c r="L34" s="72"/>
      <c r="M34" s="27">
        <f>IF(K34=0,1,0)</f>
        <v>0</v>
      </c>
      <c r="N34" s="118">
        <v>3.5</v>
      </c>
      <c r="O34" s="72">
        <v>2.2999999999999998</v>
      </c>
      <c r="P34" s="72">
        <v>3.5</v>
      </c>
      <c r="Q34" s="72">
        <v>0.35</v>
      </c>
      <c r="R34" s="72">
        <v>0.3</v>
      </c>
      <c r="S34" s="222">
        <f t="shared" si="70"/>
        <v>28.174999999999997</v>
      </c>
      <c r="T34" s="290">
        <f t="shared" si="79"/>
        <v>14.209999999999997</v>
      </c>
      <c r="U34" s="290">
        <f t="shared" si="80"/>
        <v>14.692999999999998</v>
      </c>
      <c r="V34" s="290">
        <f t="shared" si="81"/>
        <v>3746.7149999999992</v>
      </c>
      <c r="W34" s="48"/>
      <c r="X34" s="250" t="s">
        <v>158</v>
      </c>
      <c r="Y34" s="14" t="str">
        <f t="shared" si="71"/>
        <v>ŽB. šachta</v>
      </c>
      <c r="Z34" s="16">
        <v>1</v>
      </c>
      <c r="AA34" s="16" t="s">
        <v>75</v>
      </c>
      <c r="AB34" s="181" t="s">
        <v>16</v>
      </c>
      <c r="AC34" s="260" t="str">
        <f t="shared" si="5"/>
        <v>Š16</v>
      </c>
      <c r="AD34" s="263">
        <f t="shared" si="72"/>
        <v>1</v>
      </c>
      <c r="AE34" s="37" t="s">
        <v>217</v>
      </c>
      <c r="AF34" s="48" t="s">
        <v>184</v>
      </c>
      <c r="AG34" s="48">
        <f t="shared" si="6"/>
        <v>46.199999999999996</v>
      </c>
      <c r="AH34" s="48">
        <f t="shared" si="73"/>
        <v>46.199999999999996</v>
      </c>
      <c r="AI34" s="24" t="s">
        <v>217</v>
      </c>
      <c r="AJ34" s="307">
        <f t="shared" si="82"/>
        <v>113.39999999999999</v>
      </c>
      <c r="AK34" s="255" t="str">
        <f t="shared" si="74"/>
        <v>Š16</v>
      </c>
      <c r="AL34" s="28" t="s">
        <v>22</v>
      </c>
      <c r="AM34" s="25">
        <f t="shared" si="8"/>
        <v>97.299999999999983</v>
      </c>
      <c r="AN34" s="56">
        <f t="shared" si="57"/>
        <v>16.45</v>
      </c>
      <c r="AO34" s="251" t="s">
        <v>22</v>
      </c>
      <c r="AP34" s="194">
        <f t="shared" si="75"/>
        <v>5.1250000000000071</v>
      </c>
      <c r="AQ34" s="208"/>
      <c r="AR34" s="203">
        <f t="shared" si="58"/>
        <v>0</v>
      </c>
      <c r="AS34" s="189"/>
      <c r="AT34" s="198">
        <f t="shared" si="9"/>
        <v>0</v>
      </c>
      <c r="AU34" s="199">
        <f t="shared" si="10"/>
        <v>19.739999999999998</v>
      </c>
      <c r="AV34" s="222">
        <f t="shared" si="11"/>
        <v>2.4674999999999998</v>
      </c>
      <c r="AW34" s="118"/>
      <c r="AX34" s="103">
        <f t="shared" si="12"/>
        <v>1.2</v>
      </c>
      <c r="AY34" s="192">
        <f t="shared" si="13"/>
        <v>16.45</v>
      </c>
      <c r="AZ34" s="192">
        <v>0.75</v>
      </c>
      <c r="BA34" s="192">
        <f t="shared" si="76"/>
        <v>50.583749999999988</v>
      </c>
      <c r="BB34" s="113">
        <f t="shared" si="77"/>
        <v>0</v>
      </c>
      <c r="BC34" s="113">
        <f t="shared" si="59"/>
        <v>21.2</v>
      </c>
      <c r="BD34" s="270">
        <f t="shared" si="67"/>
        <v>0</v>
      </c>
      <c r="BE34" s="228">
        <f t="shared" si="60"/>
        <v>26.932499999999997</v>
      </c>
      <c r="BF34" s="268">
        <v>3</v>
      </c>
      <c r="BG34" s="268">
        <f t="shared" si="84"/>
        <v>8.1000000000000014</v>
      </c>
      <c r="BH34" s="118">
        <v>6</v>
      </c>
      <c r="BI34" s="72">
        <f t="shared" si="68"/>
        <v>270</v>
      </c>
      <c r="BJ34" s="256" t="str">
        <f t="shared" si="78"/>
        <v>Š16</v>
      </c>
      <c r="BK34" s="230">
        <f t="shared" si="83"/>
        <v>24.300000000000004</v>
      </c>
      <c r="BL34" s="3">
        <f t="shared" si="86"/>
        <v>1</v>
      </c>
      <c r="BM34" s="3">
        <f t="shared" si="87"/>
        <v>1</v>
      </c>
      <c r="BN34" s="10">
        <f t="shared" si="16"/>
        <v>0</v>
      </c>
      <c r="BO34" s="3">
        <f t="shared" si="17"/>
        <v>0</v>
      </c>
      <c r="BP34" s="3">
        <f t="shared" si="18"/>
        <v>0</v>
      </c>
      <c r="BQ34" s="3">
        <f t="shared" si="19"/>
        <v>0</v>
      </c>
      <c r="BR34" s="3">
        <f t="shared" si="20"/>
        <v>0</v>
      </c>
      <c r="BS34" s="3">
        <f t="shared" si="21"/>
        <v>1</v>
      </c>
      <c r="BT34" s="3"/>
      <c r="BU34" s="3">
        <f t="shared" si="22"/>
        <v>0</v>
      </c>
      <c r="BV34" s="3">
        <f t="shared" si="23"/>
        <v>0</v>
      </c>
      <c r="BW34" s="3">
        <f t="shared" si="24"/>
        <v>0</v>
      </c>
      <c r="BX34" s="3">
        <f t="shared" si="25"/>
        <v>0</v>
      </c>
      <c r="BY34" s="3">
        <f t="shared" si="26"/>
        <v>1</v>
      </c>
      <c r="BZ34" s="3">
        <f t="shared" si="27"/>
        <v>0</v>
      </c>
      <c r="CA34" s="3">
        <f t="shared" si="28"/>
        <v>0</v>
      </c>
      <c r="CB34" s="3">
        <f t="shared" si="29"/>
        <v>0</v>
      </c>
      <c r="CC34" s="3">
        <f t="shared" si="30"/>
        <v>0</v>
      </c>
      <c r="CD34" s="3">
        <f t="shared" si="31"/>
        <v>0</v>
      </c>
      <c r="CE34" s="3">
        <f t="shared" si="32"/>
        <v>0</v>
      </c>
      <c r="CF34" s="3">
        <f t="shared" si="33"/>
        <v>0</v>
      </c>
      <c r="CG34" s="3">
        <f t="shared" si="88"/>
        <v>1</v>
      </c>
      <c r="CH34" s="3">
        <f t="shared" si="89"/>
        <v>1</v>
      </c>
      <c r="CI34" s="3"/>
      <c r="CJ34" s="3">
        <f t="shared" si="36"/>
        <v>19.889999999999997</v>
      </c>
      <c r="CK34" s="3">
        <f t="shared" si="37"/>
        <v>41.89</v>
      </c>
      <c r="CL34" s="3">
        <f t="shared" si="90"/>
        <v>833.19209999999987</v>
      </c>
      <c r="CM34" s="3">
        <f t="shared" si="91"/>
        <v>28.865067122735049</v>
      </c>
      <c r="CN34" s="10">
        <f t="shared" si="38"/>
        <v>3.8</v>
      </c>
      <c r="CO34" s="3">
        <f t="shared" si="39"/>
        <v>114.81708502213105</v>
      </c>
      <c r="CP34" s="3">
        <f t="shared" si="92"/>
        <v>57.408542511065527</v>
      </c>
      <c r="CQ34" s="3">
        <f t="shared" si="93"/>
        <v>0.5</v>
      </c>
      <c r="CR34" s="3">
        <f t="shared" si="41"/>
        <v>0.5</v>
      </c>
      <c r="CS34" s="3"/>
      <c r="CT34" s="3">
        <f t="shared" si="42"/>
        <v>23.718542511065522</v>
      </c>
      <c r="CU34" s="3">
        <f t="shared" si="94"/>
        <v>23.718542511065522</v>
      </c>
      <c r="CV34" s="3"/>
      <c r="CW34" s="3"/>
      <c r="CX34" s="3"/>
      <c r="DD34" t="e">
        <f t="shared" si="97"/>
        <v>#VALUE!</v>
      </c>
      <c r="DE34" t="e">
        <f t="shared" si="98"/>
        <v>#VALUE!</v>
      </c>
      <c r="DF34" t="e">
        <f>K34*((2*N34*(P34-AC34))+(2*O34*(P34-AC34))+(N34+0.25)*(O34+0.25))</f>
        <v>#VALUE!</v>
      </c>
      <c r="DG34">
        <f>((N34*O34*(P34-R34)-((N34-Q34*2)*(O34-Q34*2)*(P34-Q34*2))+((R34*1.1*1.4)-(R34*0.6*0.9)))*K34)</f>
        <v>13.516</v>
      </c>
      <c r="DH34">
        <f>(2*N34*O34+2*N34*P34+2*O34*P34)+(2*R34*1.1+2*R34*1.4)</f>
        <v>58.199999999999989</v>
      </c>
      <c r="DI34">
        <f>2*(2*N34*O34+2*N34*P34+2*O34*P34)*7850*2*(0.003*0.003*3.14)*(1000/150)</f>
        <v>335.42359199999993</v>
      </c>
      <c r="DJ34">
        <f>2*(2*N34*O34+2*N34*P34+2*O34*P34)*7850*2*(0.003*0.003*3.14)*(1000/100)</f>
        <v>503.13538799999992</v>
      </c>
      <c r="DK34">
        <f>2*(2*N34*O34+2*N34*P34+2*O34*P34)*7850*2*(0.004*0.004*3.14)*(1000/100)</f>
        <v>894.46291199999973</v>
      </c>
      <c r="DL34">
        <f>(N34+1.5)*(P34+R34)+(O34+1.8)*(P34+R34)</f>
        <v>34.58</v>
      </c>
      <c r="DN34">
        <f>2*(2*N34*O34+2*N34*P34+2*O34*P34)*7850*2*(0.006*0.006*3.14)*(1000/150)</f>
        <v>1341.6943679999997</v>
      </c>
      <c r="DP34">
        <f t="shared" si="99"/>
        <v>0</v>
      </c>
      <c r="DQ34">
        <f t="shared" si="100"/>
        <v>0</v>
      </c>
      <c r="DR34">
        <f t="shared" si="101"/>
        <v>0</v>
      </c>
      <c r="DU34" t="e">
        <f t="shared" si="102"/>
        <v>#VALUE!</v>
      </c>
    </row>
    <row r="35" spans="1:125" ht="17.25" x14ac:dyDescent="0.3">
      <c r="A35" s="72">
        <f t="shared" si="4"/>
        <v>4</v>
      </c>
      <c r="B35" s="113"/>
      <c r="C35" s="28"/>
      <c r="D35" s="408">
        <f>8+1</f>
        <v>9</v>
      </c>
      <c r="E35" s="72"/>
      <c r="F35" s="113"/>
      <c r="G35" s="113"/>
      <c r="H35" s="113"/>
      <c r="I35" s="314"/>
      <c r="J35" s="142" t="s">
        <v>202</v>
      </c>
      <c r="K35" s="213">
        <v>1</v>
      </c>
      <c r="L35" s="72"/>
      <c r="M35" s="27">
        <f t="shared" ref="M35:M68" si="103">IF(K35=0,1,0)</f>
        <v>0</v>
      </c>
      <c r="N35" s="118">
        <v>2</v>
      </c>
      <c r="O35" s="72">
        <v>2</v>
      </c>
      <c r="P35" s="72">
        <v>2.8</v>
      </c>
      <c r="Q35" s="72">
        <v>0.2</v>
      </c>
      <c r="R35" s="72">
        <v>0.35</v>
      </c>
      <c r="S35" s="222">
        <f t="shared" si="70"/>
        <v>11.2</v>
      </c>
      <c r="T35" s="290">
        <f t="shared" si="79"/>
        <v>4.4799999999999995</v>
      </c>
      <c r="U35" s="290">
        <f t="shared" si="80"/>
        <v>4.8019999999999996</v>
      </c>
      <c r="V35" s="290">
        <f t="shared" si="81"/>
        <v>1224.51</v>
      </c>
      <c r="W35" s="48"/>
      <c r="X35" s="250" t="s">
        <v>158</v>
      </c>
      <c r="Y35" s="14" t="str">
        <f t="shared" si="71"/>
        <v>ŽB. šachta</v>
      </c>
      <c r="Z35" s="16">
        <v>1</v>
      </c>
      <c r="AA35" s="16" t="s">
        <v>75</v>
      </c>
      <c r="AB35" s="181" t="s">
        <v>16</v>
      </c>
      <c r="AC35" s="260" t="str">
        <f t="shared" si="5"/>
        <v>Š17</v>
      </c>
      <c r="AD35" s="263">
        <f t="shared" si="72"/>
        <v>1</v>
      </c>
      <c r="AE35" s="37" t="s">
        <v>217</v>
      </c>
      <c r="AF35" s="48" t="s">
        <v>184</v>
      </c>
      <c r="AG35" s="48">
        <f t="shared" si="6"/>
        <v>28.799999999999997</v>
      </c>
      <c r="AH35" s="48">
        <f t="shared" si="73"/>
        <v>28.799999999999997</v>
      </c>
      <c r="AI35" s="24" t="s">
        <v>217</v>
      </c>
      <c r="AJ35" s="307">
        <f>IF(AI35="ano",(N35*O35+O35*P35+N35*P35)*4,0)</f>
        <v>60.8</v>
      </c>
      <c r="AK35" s="255" t="str">
        <f t="shared" si="74"/>
        <v>Š17</v>
      </c>
      <c r="AL35" s="28" t="s">
        <v>22</v>
      </c>
      <c r="AM35" s="25">
        <f t="shared" si="8"/>
        <v>52.8</v>
      </c>
      <c r="AN35" s="56">
        <f t="shared" si="57"/>
        <v>10.240000000000002</v>
      </c>
      <c r="AO35" s="251" t="s">
        <v>218</v>
      </c>
      <c r="AP35" s="194">
        <f t="shared" si="75"/>
        <v>0</v>
      </c>
      <c r="AQ35" s="208"/>
      <c r="AR35" s="203">
        <f t="shared" si="58"/>
        <v>0</v>
      </c>
      <c r="AS35" s="189"/>
      <c r="AT35" s="198">
        <f t="shared" si="9"/>
        <v>0</v>
      </c>
      <c r="AU35" s="199">
        <f t="shared" si="10"/>
        <v>12.288000000000002</v>
      </c>
      <c r="AV35" s="222">
        <f t="shared" si="11"/>
        <v>1.5360000000000003</v>
      </c>
      <c r="AW35" s="118"/>
      <c r="AX35" s="103">
        <f t="shared" si="12"/>
        <v>1.2</v>
      </c>
      <c r="AY35" s="192">
        <f t="shared" si="13"/>
        <v>10.240000000000002</v>
      </c>
      <c r="AZ35" s="192">
        <v>0.75</v>
      </c>
      <c r="BA35" s="192">
        <f t="shared" si="76"/>
        <v>26.496000000000002</v>
      </c>
      <c r="BB35" s="113">
        <f t="shared" si="77"/>
        <v>0</v>
      </c>
      <c r="BC35" s="113">
        <f t="shared" si="59"/>
        <v>17.600000000000001</v>
      </c>
      <c r="BD35" s="270">
        <f t="shared" si="67"/>
        <v>0</v>
      </c>
      <c r="BE35" s="228">
        <f t="shared" si="60"/>
        <v>15.936000000000005</v>
      </c>
      <c r="BF35" s="268">
        <v>2</v>
      </c>
      <c r="BG35" s="268">
        <f t="shared" si="84"/>
        <v>2.4</v>
      </c>
      <c r="BH35" s="118">
        <v>4</v>
      </c>
      <c r="BI35" s="72">
        <f t="shared" si="68"/>
        <v>120</v>
      </c>
      <c r="BJ35" s="256" t="str">
        <f t="shared" si="78"/>
        <v>Š17</v>
      </c>
      <c r="BK35" s="230">
        <f t="shared" si="83"/>
        <v>4.8</v>
      </c>
      <c r="BL35" s="3">
        <f t="shared" si="86"/>
        <v>1</v>
      </c>
      <c r="BM35" s="3">
        <f t="shared" si="87"/>
        <v>1</v>
      </c>
      <c r="BN35" s="10">
        <f t="shared" si="16"/>
        <v>0</v>
      </c>
      <c r="BO35" s="3">
        <f t="shared" si="17"/>
        <v>0</v>
      </c>
      <c r="BP35" s="3">
        <f t="shared" si="18"/>
        <v>0</v>
      </c>
      <c r="BQ35" s="3">
        <f t="shared" si="19"/>
        <v>1</v>
      </c>
      <c r="BR35" s="3">
        <f t="shared" si="20"/>
        <v>0</v>
      </c>
      <c r="BS35" s="3">
        <f t="shared" si="21"/>
        <v>0</v>
      </c>
      <c r="BT35" s="3"/>
      <c r="BU35" s="3">
        <f t="shared" si="22"/>
        <v>1</v>
      </c>
      <c r="BV35" s="3">
        <f t="shared" si="23"/>
        <v>0</v>
      </c>
      <c r="BW35" s="3">
        <f t="shared" si="24"/>
        <v>0</v>
      </c>
      <c r="BX35" s="3">
        <f t="shared" si="25"/>
        <v>0</v>
      </c>
      <c r="BY35" s="3">
        <f t="shared" si="26"/>
        <v>0</v>
      </c>
      <c r="BZ35" s="3">
        <f t="shared" si="27"/>
        <v>0</v>
      </c>
      <c r="CA35" s="3">
        <f t="shared" si="28"/>
        <v>0</v>
      </c>
      <c r="CB35" s="3">
        <f t="shared" si="29"/>
        <v>0</v>
      </c>
      <c r="CC35" s="3">
        <f t="shared" si="30"/>
        <v>0</v>
      </c>
      <c r="CD35" s="3">
        <f t="shared" si="31"/>
        <v>0</v>
      </c>
      <c r="CE35" s="3">
        <f t="shared" si="32"/>
        <v>0</v>
      </c>
      <c r="CF35" s="3">
        <f t="shared" si="33"/>
        <v>0</v>
      </c>
      <c r="CG35" s="3">
        <f t="shared" si="88"/>
        <v>1</v>
      </c>
      <c r="CH35" s="3">
        <f t="shared" si="89"/>
        <v>0</v>
      </c>
      <c r="CI35" s="3"/>
      <c r="CJ35" s="3">
        <f t="shared" si="36"/>
        <v>12.96</v>
      </c>
      <c r="CK35" s="3">
        <f t="shared" si="37"/>
        <v>31.359999999999996</v>
      </c>
      <c r="CL35" s="3">
        <f t="shared" si="90"/>
        <v>406.42559999999997</v>
      </c>
      <c r="CM35" s="3">
        <f t="shared" si="91"/>
        <v>20.16</v>
      </c>
      <c r="CN35" s="10">
        <f t="shared" si="38"/>
        <v>3.15</v>
      </c>
      <c r="CO35" s="3">
        <f t="shared" si="39"/>
        <v>67.703999999999994</v>
      </c>
      <c r="CP35" s="3">
        <f t="shared" si="92"/>
        <v>33.851999999999997</v>
      </c>
      <c r="CQ35" s="3">
        <f t="shared" si="93"/>
        <v>0.5</v>
      </c>
      <c r="CR35" s="3">
        <f t="shared" si="41"/>
        <v>0.5</v>
      </c>
      <c r="CS35" s="3"/>
      <c r="CT35" s="3">
        <f t="shared" si="42"/>
        <v>19.360999999999997</v>
      </c>
      <c r="CU35" s="3">
        <f t="shared" si="94"/>
        <v>19.360999999999997</v>
      </c>
      <c r="CV35" s="3"/>
      <c r="CW35" s="3"/>
      <c r="CX35" s="3"/>
      <c r="DD35" t="e">
        <f t="shared" si="97"/>
        <v>#VALUE!</v>
      </c>
      <c r="DE35" t="e">
        <f t="shared" si="98"/>
        <v>#VALUE!</v>
      </c>
      <c r="DF35" t="e">
        <f>K35*((2*N35*(P35-AC35))+(2*O35*(P35-AC35))+(N35+0.25)*(O35+0.25))</f>
        <v>#VALUE!</v>
      </c>
      <c r="DG35">
        <f>((N35*O35*(P35-R35)-((N35-Q35*2)*(O35-Q35*2)*(P35-Q35*2))+((R35*1.1*1.4)-(R35*0.6*0.9)))*K35)</f>
        <v>4.0059999999999976</v>
      </c>
      <c r="DH35">
        <f>(2*N35*O35+2*N35*P35+2*O35*P35)+(2*R35*1.1+2*R35*1.4)</f>
        <v>32.15</v>
      </c>
      <c r="DI35">
        <f>2*(2*N35*O35+2*N35*P35+2*O35*P35)*7850*2*(0.003*0.003*3.14)*(1000/150)</f>
        <v>179.83910399999999</v>
      </c>
      <c r="DJ35">
        <f>2*(2*N35*O35+2*N35*P35+2*O35*P35)*7850*2*(0.003*0.003*3.14)*(1000/100)</f>
        <v>269.75865599999997</v>
      </c>
      <c r="DK35">
        <f>2*(2*N35*O35+2*N35*P35+2*O35*P35)*7850*2*(0.004*0.004*3.14)*(1000/100)</f>
        <v>479.57094400000005</v>
      </c>
      <c r="DL35">
        <f>(N35+1.5)*(P35+R35)+(O35+1.8)*(P35+R35)</f>
        <v>22.994999999999997</v>
      </c>
      <c r="DN35">
        <f>2*(2*N35*O35+2*N35*P35+2*O35*P35)*7850*2*(0.006*0.006*3.14)*(1000/150)</f>
        <v>719.35641599999997</v>
      </c>
      <c r="DP35">
        <f t="shared" si="99"/>
        <v>0</v>
      </c>
      <c r="DQ35">
        <f t="shared" si="100"/>
        <v>0</v>
      </c>
      <c r="DR35">
        <f t="shared" si="101"/>
        <v>0</v>
      </c>
      <c r="DU35" t="e">
        <f t="shared" si="102"/>
        <v>#VALUE!</v>
      </c>
    </row>
    <row r="36" spans="1:125" ht="17.25" x14ac:dyDescent="0.3">
      <c r="A36" s="72"/>
      <c r="B36" s="113"/>
      <c r="C36" s="28"/>
      <c r="D36" s="118"/>
      <c r="E36" s="72"/>
      <c r="F36" s="113"/>
      <c r="G36" s="113"/>
      <c r="H36" s="113"/>
      <c r="I36" s="314"/>
      <c r="J36" s="142" t="s">
        <v>292</v>
      </c>
      <c r="K36" s="321">
        <v>0</v>
      </c>
      <c r="L36" s="72"/>
      <c r="M36" s="323">
        <f t="shared" si="103"/>
        <v>1</v>
      </c>
      <c r="N36" s="118">
        <v>1.4359999999999999</v>
      </c>
      <c r="O36" s="72">
        <v>0.97599999999999998</v>
      </c>
      <c r="P36" s="72">
        <v>1.35</v>
      </c>
      <c r="Q36" s="72"/>
      <c r="R36" s="72"/>
      <c r="S36" s="222">
        <f t="shared" si="70"/>
        <v>1.8920736</v>
      </c>
      <c r="T36" s="290">
        <f t="shared" ref="T36" si="104">(N36*P36*Q36)*2+(O36*P36*Q36)*2</f>
        <v>0</v>
      </c>
      <c r="U36" s="290">
        <f t="shared" ref="U36" si="105">T36+(Q36*R36*1.3)*2+(Q36*R36*1)*2</f>
        <v>0</v>
      </c>
      <c r="V36" s="290">
        <f t="shared" ref="V36" si="106">U36*255</f>
        <v>0</v>
      </c>
      <c r="W36" s="48"/>
      <c r="X36" s="250" t="s">
        <v>158</v>
      </c>
      <c r="Y36" s="14" t="str">
        <f t="shared" si="71"/>
        <v>pro pl. šachtu</v>
      </c>
      <c r="Z36" s="16">
        <v>1</v>
      </c>
      <c r="AA36" s="16" t="s">
        <v>75</v>
      </c>
      <c r="AB36" s="181" t="s">
        <v>16</v>
      </c>
      <c r="AC36" s="260" t="str">
        <f t="shared" si="5"/>
        <v>Š17a</v>
      </c>
      <c r="AD36" s="263">
        <f t="shared" si="72"/>
        <v>0</v>
      </c>
      <c r="AE36" s="37" t="s">
        <v>23</v>
      </c>
      <c r="AF36" s="48" t="s">
        <v>249</v>
      </c>
      <c r="AG36" s="48">
        <f t="shared" si="6"/>
        <v>0</v>
      </c>
      <c r="AH36" s="48">
        <f t="shared" si="73"/>
        <v>0</v>
      </c>
      <c r="AI36" s="24" t="s">
        <v>218</v>
      </c>
      <c r="AJ36" s="307">
        <f t="shared" si="82"/>
        <v>0</v>
      </c>
      <c r="AK36" s="255" t="str">
        <f t="shared" si="74"/>
        <v>Š17a</v>
      </c>
      <c r="AL36" s="28"/>
      <c r="AM36" s="25"/>
      <c r="AN36" s="56"/>
      <c r="AO36" s="251" t="s">
        <v>249</v>
      </c>
      <c r="AP36" s="194">
        <f t="shared" si="75"/>
        <v>0</v>
      </c>
      <c r="AQ36" s="208"/>
      <c r="AR36" s="203"/>
      <c r="AS36" s="189"/>
      <c r="AT36" s="198">
        <f t="shared" si="9"/>
        <v>1.5</v>
      </c>
      <c r="AU36" s="199"/>
      <c r="AV36" s="222"/>
      <c r="AW36" s="118"/>
      <c r="AX36" s="103">
        <f t="shared" si="12"/>
        <v>0.7</v>
      </c>
      <c r="AY36" s="192"/>
      <c r="AZ36" s="192"/>
      <c r="BA36" s="192"/>
      <c r="BB36" s="113"/>
      <c r="BC36" s="113"/>
      <c r="BD36" s="270"/>
      <c r="BE36" s="228"/>
      <c r="BF36" s="268"/>
      <c r="BG36" s="268"/>
      <c r="BH36" s="118"/>
      <c r="BI36" s="72"/>
      <c r="BJ36" s="256" t="str">
        <f t="shared" si="78"/>
        <v>Š17a</v>
      </c>
      <c r="BK36" s="230"/>
      <c r="BL36" s="3">
        <f t="shared" si="86"/>
        <v>0</v>
      </c>
      <c r="BM36" s="3">
        <f t="shared" si="87"/>
        <v>0</v>
      </c>
      <c r="BN36" s="10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>
        <f t="shared" si="89"/>
        <v>0</v>
      </c>
      <c r="CI36" s="3"/>
      <c r="CJ36" s="3"/>
      <c r="CK36" s="3"/>
      <c r="CL36" s="3"/>
      <c r="CM36" s="3"/>
      <c r="CN36" s="10"/>
      <c r="CO36" s="3"/>
      <c r="CP36" s="3"/>
      <c r="CQ36" s="3"/>
      <c r="CR36" s="3">
        <f t="shared" si="41"/>
        <v>0</v>
      </c>
      <c r="CS36" s="3"/>
      <c r="CT36" s="3"/>
      <c r="CU36" s="3"/>
      <c r="CV36" s="3"/>
      <c r="CW36" s="3"/>
      <c r="CX36" s="3"/>
      <c r="DD36" t="e">
        <f t="shared" si="97"/>
        <v>#VALUE!</v>
      </c>
      <c r="DE36" t="e">
        <f t="shared" si="98"/>
        <v>#VALUE!</v>
      </c>
      <c r="DP36">
        <f t="shared" si="99"/>
        <v>0</v>
      </c>
      <c r="DQ36">
        <f t="shared" si="100"/>
        <v>0</v>
      </c>
      <c r="DR36">
        <f t="shared" si="101"/>
        <v>0</v>
      </c>
      <c r="DU36" t="e">
        <f t="shared" si="102"/>
        <v>#VALUE!</v>
      </c>
    </row>
    <row r="37" spans="1:125" ht="17.25" x14ac:dyDescent="0.3">
      <c r="A37" s="72">
        <f t="shared" ref="A37:A99" si="107">N37*O37</f>
        <v>5.415</v>
      </c>
      <c r="B37" s="113"/>
      <c r="C37" s="28"/>
      <c r="D37" s="118">
        <f>8+9+9</f>
        <v>26</v>
      </c>
      <c r="E37" s="72"/>
      <c r="F37" s="113"/>
      <c r="G37" s="113"/>
      <c r="H37" s="113"/>
      <c r="I37" s="314"/>
      <c r="J37" s="142" t="s">
        <v>176</v>
      </c>
      <c r="K37" s="213">
        <v>1</v>
      </c>
      <c r="L37" s="72"/>
      <c r="M37" s="27">
        <f t="shared" si="103"/>
        <v>0</v>
      </c>
      <c r="N37" s="118">
        <v>2.85</v>
      </c>
      <c r="O37" s="72">
        <v>1.9</v>
      </c>
      <c r="P37" s="72">
        <v>2.8</v>
      </c>
      <c r="Q37" s="72">
        <v>0.2</v>
      </c>
      <c r="R37" s="72">
        <v>0.35</v>
      </c>
      <c r="S37" s="222">
        <f t="shared" si="70"/>
        <v>15.161999999999999</v>
      </c>
      <c r="T37" s="290">
        <f t="shared" si="79"/>
        <v>5.32</v>
      </c>
      <c r="U37" s="290">
        <f t="shared" si="80"/>
        <v>5.6420000000000003</v>
      </c>
      <c r="V37" s="290">
        <f t="shared" si="81"/>
        <v>1438.71</v>
      </c>
      <c r="W37" s="48"/>
      <c r="X37" s="250" t="s">
        <v>158</v>
      </c>
      <c r="Y37" s="14" t="str">
        <f t="shared" si="71"/>
        <v>ŽB. šachta</v>
      </c>
      <c r="Z37" s="16">
        <v>1</v>
      </c>
      <c r="AA37" s="16" t="s">
        <v>75</v>
      </c>
      <c r="AB37" s="181" t="s">
        <v>16</v>
      </c>
      <c r="AC37" s="260" t="str">
        <f t="shared" si="5"/>
        <v>Š18</v>
      </c>
      <c r="AD37" s="263">
        <f t="shared" si="72"/>
        <v>1</v>
      </c>
      <c r="AE37" s="37" t="s">
        <v>304</v>
      </c>
      <c r="AF37" s="48" t="s">
        <v>184</v>
      </c>
      <c r="AG37" s="48">
        <f t="shared" ref="AG37:AG46" si="108">IF(AE37="ano",(N37*O37+O37*P37+N37+P37)*2,0)</f>
        <v>0</v>
      </c>
      <c r="AH37" s="48">
        <f t="shared" ref="AH37:AH46" si="109">IF(AF37="ano",(N37*O37+O37*P37+N37+P37)*2,0)</f>
        <v>32.769999999999996</v>
      </c>
      <c r="AI37" s="24" t="s">
        <v>217</v>
      </c>
      <c r="AJ37" s="307">
        <f t="shared" si="82"/>
        <v>74.86</v>
      </c>
      <c r="AK37" s="255" t="str">
        <f t="shared" si="74"/>
        <v>Š18</v>
      </c>
      <c r="AL37" s="28" t="s">
        <v>22</v>
      </c>
      <c r="AM37" s="25">
        <f>IF(AL37="ano",2*((N37*P37+O37*P37)*2+N37*O37),0)</f>
        <v>64.03</v>
      </c>
      <c r="AN37" s="56">
        <f t="shared" ref="AN37:AN82" si="110">AY37</f>
        <v>12.554999999999998</v>
      </c>
      <c r="AO37" s="251" t="s">
        <v>218</v>
      </c>
      <c r="AP37" s="194">
        <f t="shared" ref="AP37:AP46" si="111">IF(AO37="ano",IF(M37=1,2,1)*(K37+M37)*((N37+0.2)*(O37+0.2)*(P37+0.1)-N37*O37*P37),0)</f>
        <v>0</v>
      </c>
      <c r="AQ37" s="208"/>
      <c r="AR37" s="203">
        <f>IF(AQ37="ano",K37*(N37*O37+2*N37*P37+2*O37*P37),0)</f>
        <v>0</v>
      </c>
      <c r="AS37" s="189"/>
      <c r="AT37" s="198">
        <f t="shared" si="9"/>
        <v>0</v>
      </c>
      <c r="AU37" s="199">
        <f>K37*AY37*1.2</f>
        <v>15.065999999999997</v>
      </c>
      <c r="AV37" s="222">
        <f>(K37+M37)*IF(K37=1,AY37*0.15,IF(K37=0,AY37*0.1,0))</f>
        <v>1.8832499999999996</v>
      </c>
      <c r="AW37" s="118"/>
      <c r="AX37" s="103">
        <f t="shared" si="12"/>
        <v>1.2</v>
      </c>
      <c r="AY37" s="192">
        <f>(N37+AX37)*(O37+AX37)</f>
        <v>12.554999999999998</v>
      </c>
      <c r="AZ37" s="192">
        <v>1</v>
      </c>
      <c r="BA37" s="192">
        <f>AZ37*AY37*(P37+R37+0.3)</f>
        <v>43.314749999999989</v>
      </c>
      <c r="BB37" s="113">
        <f>IF(AA37="nástupiště",0,IF((P37+R37)&gt;3,6*2*((N37+2.4)+(O37+2.4)),0))</f>
        <v>0</v>
      </c>
      <c r="BC37" s="113">
        <f>IF(AA37="nástupiště",IF((P37+R37)&gt;2.5,2*((N37+2.4)+(O37+2.4)),0),0)</f>
        <v>19.100000000000001</v>
      </c>
      <c r="BD37" s="270">
        <f>IF((BB37+BC37)&gt;0.01,0,IF(AA35="nástupiště",0.25*((N37+2*AX37)+(O37+2*AX37)),2*((N37+2*AX37)+(O37+2*AX37))))</f>
        <v>0</v>
      </c>
      <c r="BE37" s="228">
        <f>IF(AA37="terén",BA37-(AV37+N37*O37*P37),IF(AA37="nástupiště",AY37*P37-(AV37+N37*O37*P37),0))</f>
        <v>18.10874999999999</v>
      </c>
      <c r="BF37" s="268">
        <v>2</v>
      </c>
      <c r="BG37" s="268">
        <f>BF37*IF(K37=0,0,N37-0.8)</f>
        <v>4.0999999999999996</v>
      </c>
      <c r="BH37" s="118">
        <v>4</v>
      </c>
      <c r="BI37" s="72">
        <f t="shared" si="68"/>
        <v>120</v>
      </c>
      <c r="BJ37" s="256" t="str">
        <f t="shared" si="78"/>
        <v>Š18</v>
      </c>
      <c r="BK37" s="230">
        <f t="shared" si="83"/>
        <v>8.1999999999999993</v>
      </c>
      <c r="BL37" s="3">
        <f t="shared" si="86"/>
        <v>0</v>
      </c>
      <c r="BM37" s="3">
        <f t="shared" si="87"/>
        <v>1</v>
      </c>
      <c r="BN37" s="10">
        <f>K37-(BU37+BV37+BW37+BX37+BY37)</f>
        <v>0</v>
      </c>
      <c r="BO37" s="3">
        <f>K37*IF(S37&lt;5,1,0)</f>
        <v>0</v>
      </c>
      <c r="BP37" s="3">
        <f>K37*IF(S37&lt;10.001,IF(S37&gt;5,1,0),0)</f>
        <v>0</v>
      </c>
      <c r="BQ37" s="3">
        <f>K37*IF(S37&lt;15.001,IF(S37&gt;10,1,0),0)</f>
        <v>0</v>
      </c>
      <c r="BR37" s="3">
        <f>K37*IF(S37&lt;20.001,IF(S37&gt;15,1,0),0)</f>
        <v>1</v>
      </c>
      <c r="BS37" s="3">
        <f>K37*IF(S37&gt;20,1,0)</f>
        <v>0</v>
      </c>
      <c r="BT37" s="3"/>
      <c r="BU37" s="3">
        <f>K37*IF(A37&lt;4.501,IF(A37&gt;2.5,1,0),0)</f>
        <v>0</v>
      </c>
      <c r="BV37" s="3">
        <f>K37*IF(A37&lt;5.501,IF(A37&gt;4.5001,1,0),0)</f>
        <v>1</v>
      </c>
      <c r="BW37" s="3">
        <f>K37*IF(A37&lt;6.501,IF(A37&gt;5.5001,1,0),0)</f>
        <v>0</v>
      </c>
      <c r="BX37" s="3">
        <f>K37*IF(A37&lt;7.501,IF(A37&gt;6.5001,1,0),0)</f>
        <v>0</v>
      </c>
      <c r="BY37" s="3">
        <f>K37*IF(A37&gt;7.501,1,0)</f>
        <v>0</v>
      </c>
      <c r="BZ37" s="3">
        <f>M37*IF(A37=1.352,1,0)</f>
        <v>0</v>
      </c>
      <c r="CA37" s="3">
        <f>M37*P37</f>
        <v>0</v>
      </c>
      <c r="CB37" s="3">
        <f>M37*IF(A37=1.859,1,0)</f>
        <v>0</v>
      </c>
      <c r="CC37" s="3">
        <f>M37*IF(A37=1.54,1,0)</f>
        <v>0</v>
      </c>
      <c r="CD37" s="3">
        <f>M37*IF(A37=1.12,1,0)</f>
        <v>0</v>
      </c>
      <c r="CE37" s="3">
        <f>M37*IF(A37=(0.55*0.715),1,0)</f>
        <v>0</v>
      </c>
      <c r="CF37" s="3">
        <f>M37*IF(A37=(1.02*0.715),1,0)</f>
        <v>0</v>
      </c>
      <c r="CG37" s="3">
        <f t="shared" si="88"/>
        <v>1</v>
      </c>
      <c r="CH37" s="3">
        <f t="shared" si="89"/>
        <v>0</v>
      </c>
      <c r="CI37" s="3"/>
      <c r="CJ37" s="3">
        <f>(N37+1.6)*(O37+1.6)*(K37+M37)</f>
        <v>15.575000000000001</v>
      </c>
      <c r="CK37" s="3">
        <f>(N37+1.6+2)*(O37+1.6+2)</f>
        <v>35.475000000000001</v>
      </c>
      <c r="CL37" s="3">
        <f t="shared" si="90"/>
        <v>552.52312500000005</v>
      </c>
      <c r="CM37" s="3">
        <f t="shared" si="91"/>
        <v>23.505810451886148</v>
      </c>
      <c r="CN37" s="10">
        <f>(P37+R37)</f>
        <v>3.15</v>
      </c>
      <c r="CO37" s="3">
        <f>(K37+M37)*(CN37/3)*(CJ37+CK37+CM37)</f>
        <v>78.28360097448045</v>
      </c>
      <c r="CP37" s="3">
        <f t="shared" si="92"/>
        <v>39.141800487240225</v>
      </c>
      <c r="CQ37" s="3">
        <f t="shared" si="93"/>
        <v>0.5</v>
      </c>
      <c r="CR37" s="3">
        <f t="shared" si="41"/>
        <v>0.5</v>
      </c>
      <c r="CS37" s="3"/>
      <c r="CT37" s="3">
        <f>(CP37-((N37+0.2)*(O37+0.2)*(P37+0.1)+K37*(1.3*1*R37)))*(K37+M37)</f>
        <v>20.112300487240223</v>
      </c>
      <c r="CU37" s="3">
        <f t="shared" si="94"/>
        <v>20.112300487240223</v>
      </c>
      <c r="CV37" s="3"/>
      <c r="CW37" s="3"/>
      <c r="CX37" s="3"/>
      <c r="DD37" t="e">
        <f t="shared" si="97"/>
        <v>#VALUE!</v>
      </c>
      <c r="DE37" t="e">
        <f t="shared" si="98"/>
        <v>#VALUE!</v>
      </c>
      <c r="DF37" t="e">
        <f>K37*((2*N37*(P37-AC37))+(2*O37*(P37-AC37))+(N37+0.25)*(O37+0.25))</f>
        <v>#VALUE!</v>
      </c>
      <c r="DG37">
        <f>((N37*O37*(P37-R37)-((N37-Q37*2)*(O37-Q37*2)*(P37-Q37*2))+((R37*1.1*1.4)-(R37*0.6*0.9)))*K37)</f>
        <v>4.7967499999999976</v>
      </c>
      <c r="DH37">
        <f>(2*N37*O37+2*N37*P37+2*O37*P37)+(2*R37*1.1+2*R37*1.4)</f>
        <v>39.18</v>
      </c>
      <c r="DI37">
        <f>2*(2*N37*O37+2*N37*P37+2*O37*P37)*7850*2*(0.003*0.003*3.14)*(1000/150)</f>
        <v>221.42689680000001</v>
      </c>
      <c r="DJ37">
        <f>2*(2*N37*O37+2*N37*P37+2*O37*P37)*7850*2*(0.003*0.003*3.14)*(1000/100)</f>
        <v>332.14034519999996</v>
      </c>
      <c r="DK37">
        <f>2*(2*N37*O37+2*N37*P37+2*O37*P37)*7850*2*(0.004*0.004*3.14)*(1000/100)</f>
        <v>590.47172479999995</v>
      </c>
      <c r="DL37">
        <f>(N37+1.5)*(P37+R37)+(O37+1.8)*(P37+R37)</f>
        <v>25.357499999999998</v>
      </c>
      <c r="DN37">
        <f>2*(2*N37*O37+2*N37*P37+2*O37*P37)*7850*2*(0.006*0.006*3.14)*(1000/150)</f>
        <v>885.70758720000003</v>
      </c>
      <c r="DP37">
        <f t="shared" si="99"/>
        <v>0</v>
      </c>
      <c r="DQ37">
        <f t="shared" si="100"/>
        <v>0</v>
      </c>
      <c r="DR37">
        <f t="shared" si="101"/>
        <v>0</v>
      </c>
      <c r="DU37" t="e">
        <f t="shared" si="102"/>
        <v>#VALUE!</v>
      </c>
    </row>
    <row r="38" spans="1:125" ht="17.25" x14ac:dyDescent="0.3">
      <c r="A38" s="72">
        <f t="shared" si="107"/>
        <v>7</v>
      </c>
      <c r="B38" s="113"/>
      <c r="C38" s="28"/>
      <c r="D38" s="118">
        <f>4+4</f>
        <v>8</v>
      </c>
      <c r="E38" s="72"/>
      <c r="F38" s="113"/>
      <c r="G38" s="113"/>
      <c r="H38" s="113"/>
      <c r="I38" s="314"/>
      <c r="J38" s="142" t="s">
        <v>203</v>
      </c>
      <c r="K38" s="213">
        <v>1</v>
      </c>
      <c r="L38" s="72"/>
      <c r="M38" s="27">
        <f t="shared" si="103"/>
        <v>0</v>
      </c>
      <c r="N38" s="118">
        <v>2.8</v>
      </c>
      <c r="O38" s="72">
        <v>2.5</v>
      </c>
      <c r="P38" s="72">
        <v>3.5</v>
      </c>
      <c r="Q38" s="72">
        <v>0.2</v>
      </c>
      <c r="R38" s="72">
        <v>0.35</v>
      </c>
      <c r="S38" s="222">
        <f t="shared" si="70"/>
        <v>24.5</v>
      </c>
      <c r="T38" s="290">
        <f t="shared" si="79"/>
        <v>7.42</v>
      </c>
      <c r="U38" s="290">
        <f t="shared" si="80"/>
        <v>7.742</v>
      </c>
      <c r="V38" s="290">
        <f t="shared" si="81"/>
        <v>1974.21</v>
      </c>
      <c r="W38" s="48"/>
      <c r="X38" s="250" t="s">
        <v>158</v>
      </c>
      <c r="Y38" s="14" t="str">
        <f t="shared" si="71"/>
        <v>ŽB. šachta</v>
      </c>
      <c r="Z38" s="16">
        <v>1</v>
      </c>
      <c r="AA38" s="16" t="s">
        <v>75</v>
      </c>
      <c r="AB38" s="181" t="s">
        <v>16</v>
      </c>
      <c r="AC38" s="260" t="str">
        <f t="shared" si="5"/>
        <v>Š19</v>
      </c>
      <c r="AD38" s="263">
        <f t="shared" si="72"/>
        <v>1</v>
      </c>
      <c r="AE38" s="37" t="s">
        <v>217</v>
      </c>
      <c r="AF38" s="48" t="s">
        <v>184</v>
      </c>
      <c r="AG38" s="48">
        <f t="shared" si="108"/>
        <v>44.1</v>
      </c>
      <c r="AH38" s="48">
        <f t="shared" si="109"/>
        <v>44.1</v>
      </c>
      <c r="AI38" s="24" t="s">
        <v>184</v>
      </c>
      <c r="AJ38" s="307">
        <f t="shared" si="82"/>
        <v>102.19999999999999</v>
      </c>
      <c r="AK38" s="255" t="str">
        <f t="shared" si="74"/>
        <v>Š19</v>
      </c>
      <c r="AL38" s="28" t="s">
        <v>22</v>
      </c>
      <c r="AM38" s="25">
        <f>IF(AL38="ano",2*((N38*P38+O38*P38)*2+N38*O38),0)</f>
        <v>88.199999999999989</v>
      </c>
      <c r="AN38" s="56">
        <f t="shared" si="110"/>
        <v>14.8</v>
      </c>
      <c r="AO38" s="251" t="s">
        <v>22</v>
      </c>
      <c r="AP38" s="194">
        <f t="shared" si="111"/>
        <v>4.6600000000000072</v>
      </c>
      <c r="AQ38" s="208"/>
      <c r="AR38" s="203">
        <f>IF(AQ38="ano",K38*(N38*O38+2*N38*P38+2*O38*P38),0)</f>
        <v>0</v>
      </c>
      <c r="AS38" s="189"/>
      <c r="AT38" s="198">
        <f t="shared" si="9"/>
        <v>0</v>
      </c>
      <c r="AU38" s="199">
        <f>K38*AY38*1.2</f>
        <v>17.760000000000002</v>
      </c>
      <c r="AV38" s="222">
        <f>(K38+M38)*IF(K38=1,AY38*0.15,IF(K38=0,AY38*0.1,0))</f>
        <v>2.2200000000000002</v>
      </c>
      <c r="AW38" s="118"/>
      <c r="AX38" s="103">
        <f t="shared" si="12"/>
        <v>1.2</v>
      </c>
      <c r="AY38" s="192">
        <f>(N38+AX38)*(O38+AX38)</f>
        <v>14.8</v>
      </c>
      <c r="AZ38" s="192">
        <v>0.75</v>
      </c>
      <c r="BA38" s="192">
        <f>AZ38*AY38*(P38+R38+0.3)</f>
        <v>46.065000000000012</v>
      </c>
      <c r="BB38" s="113">
        <f>IF(AA38="nástupiště",0,IF((P38+R38)&gt;3,6*2*((N38+2.4)+(O38+2.4)),0))</f>
        <v>0</v>
      </c>
      <c r="BC38" s="113">
        <f>IF(AA38="nástupiště",IF((P38+R38)&gt;2.5,2*((N38+2.4)+(O38+2.4)),0),0)</f>
        <v>20.2</v>
      </c>
      <c r="BD38" s="270">
        <f>IF((BB38+BC38)&gt;0.01,0,IF(AA37="nástupiště",0.25*((N38+2*AX38)+(O38+2*AX38)),2*((N38+2*AX38)+(O38+2*AX38))))</f>
        <v>0</v>
      </c>
      <c r="BE38" s="228">
        <f>IF(AA38="terén",BA38-(AV38+N38*O38*P38),IF(AA38="nástupiště",AY38*P38-(AV38+N38*O38*P38),0))</f>
        <v>25.080000000000005</v>
      </c>
      <c r="BF38" s="268">
        <v>2</v>
      </c>
      <c r="BG38" s="268">
        <f>BF38*IF(K38=0,0,N38-0.8)</f>
        <v>3.9999999999999996</v>
      </c>
      <c r="BH38" s="118">
        <v>6</v>
      </c>
      <c r="BI38" s="72">
        <f t="shared" si="68"/>
        <v>180</v>
      </c>
      <c r="BJ38" s="256" t="str">
        <f t="shared" si="78"/>
        <v>Š19</v>
      </c>
      <c r="BK38" s="230">
        <f t="shared" si="83"/>
        <v>11.999999999999998</v>
      </c>
      <c r="BL38" s="3">
        <f t="shared" si="86"/>
        <v>1</v>
      </c>
      <c r="BM38" s="3">
        <f t="shared" si="87"/>
        <v>1</v>
      </c>
      <c r="BN38" s="10">
        <f>K38-(BU38+BV38+BW38+BX38+BY38)</f>
        <v>0</v>
      </c>
      <c r="BO38" s="3">
        <f>K38*IF(S38&lt;5,1,0)</f>
        <v>0</v>
      </c>
      <c r="BP38" s="3">
        <f>K38*IF(S38&lt;10.001,IF(S38&gt;5,1,0),0)</f>
        <v>0</v>
      </c>
      <c r="BQ38" s="3">
        <f>K38*IF(S38&lt;15.001,IF(S38&gt;10,1,0),0)</f>
        <v>0</v>
      </c>
      <c r="BR38" s="3">
        <f>K38*IF(S38&lt;20.001,IF(S38&gt;15,1,0),0)</f>
        <v>0</v>
      </c>
      <c r="BS38" s="3">
        <f>K38*IF(S38&gt;20,1,0)</f>
        <v>1</v>
      </c>
      <c r="BT38" s="3"/>
      <c r="BU38" s="3">
        <f>K38*IF(A38&lt;4.501,IF(A38&gt;2.5,1,0),0)</f>
        <v>0</v>
      </c>
      <c r="BV38" s="3">
        <f>K38*IF(A38&lt;5.501,IF(A38&gt;4.5001,1,0),0)</f>
        <v>0</v>
      </c>
      <c r="BW38" s="3">
        <f>K38*IF(A38&lt;6.501,IF(A38&gt;5.5001,1,0),0)</f>
        <v>0</v>
      </c>
      <c r="BX38" s="3">
        <f>K38*IF(A38&lt;7.501,IF(A38&gt;6.5001,1,0),0)</f>
        <v>1</v>
      </c>
      <c r="BY38" s="3">
        <f>K38*IF(A38&gt;7.501,1,0)</f>
        <v>0</v>
      </c>
      <c r="BZ38" s="3">
        <f>M38*IF(A38=1.352,1,0)</f>
        <v>0</v>
      </c>
      <c r="CA38" s="3">
        <f>M38*P38</f>
        <v>0</v>
      </c>
      <c r="CB38" s="3">
        <f>M38*IF(A38=1.859,1,0)</f>
        <v>0</v>
      </c>
      <c r="CC38" s="3">
        <f>M38*IF(A38=1.54,1,0)</f>
        <v>0</v>
      </c>
      <c r="CD38" s="3">
        <f>M38*IF(A38=1.12,1,0)</f>
        <v>0</v>
      </c>
      <c r="CE38" s="3">
        <f>M38*IF(A38=(0.55*0.715),1,0)</f>
        <v>0</v>
      </c>
      <c r="CF38" s="3">
        <f>M38*IF(A38=(1.02*0.715),1,0)</f>
        <v>0</v>
      </c>
      <c r="CG38" s="3">
        <f t="shared" si="88"/>
        <v>1</v>
      </c>
      <c r="CH38" s="3">
        <f t="shared" si="89"/>
        <v>1</v>
      </c>
      <c r="CI38" s="3"/>
      <c r="CJ38" s="3">
        <f>(N38+1.6)*(O38+1.6)*(K38+M38)</f>
        <v>18.04</v>
      </c>
      <c r="CK38" s="3">
        <f>(N38+1.6+2)*(O38+1.6+2)</f>
        <v>39.04</v>
      </c>
      <c r="CL38" s="3">
        <f t="shared" si="90"/>
        <v>704.28159999999991</v>
      </c>
      <c r="CM38" s="3">
        <f t="shared" si="91"/>
        <v>26.538304391953904</v>
      </c>
      <c r="CN38" s="10">
        <f>(P38+R38)</f>
        <v>3.85</v>
      </c>
      <c r="CO38" s="3">
        <f>(K38+M38)*(CN38/3)*(CJ38+CK38+CM38)</f>
        <v>107.31015730300751</v>
      </c>
      <c r="CP38" s="3">
        <f t="shared" si="92"/>
        <v>53.655078651503757</v>
      </c>
      <c r="CQ38" s="3">
        <f t="shared" si="93"/>
        <v>0.5</v>
      </c>
      <c r="CR38" s="3">
        <f t="shared" si="41"/>
        <v>0.5</v>
      </c>
      <c r="CS38" s="3"/>
      <c r="CT38" s="3">
        <f>(CP38-((N38+0.2)*(O38+0.2)*(P38+0.1)+K38*(1.3*1*R38)))*(K38+M38)</f>
        <v>24.040078651503752</v>
      </c>
      <c r="CU38" s="3">
        <f t="shared" si="94"/>
        <v>24.040078651503752</v>
      </c>
      <c r="CV38" s="3"/>
      <c r="CW38" s="3"/>
      <c r="CX38" s="3"/>
      <c r="DD38" t="e">
        <f t="shared" si="97"/>
        <v>#VALUE!</v>
      </c>
      <c r="DE38" t="e">
        <f t="shared" si="98"/>
        <v>#VALUE!</v>
      </c>
      <c r="DF38" t="e">
        <f>K38*((2*N38*(P38-AC38))+(2*O38*(P38-AC38))+(N38+0.25)*(O38+0.25))</f>
        <v>#VALUE!</v>
      </c>
      <c r="DG38">
        <f>((N38*O38*(P38-R38)-((N38-Q38*2)*(O38-Q38*2)*(P38-Q38*2))+((R38*1.1*1.4)-(R38*0.6*0.9)))*K38)</f>
        <v>6.7759999999999998</v>
      </c>
      <c r="DH38">
        <f>(2*N38*O38+2*N38*P38+2*O38*P38)+(2*R38*1.1+2*R38*1.4)</f>
        <v>52.849999999999994</v>
      </c>
      <c r="DI38">
        <f>2*(2*N38*O38+2*N38*P38+2*O38*P38)*7850*2*(0.003*0.003*3.14)*(1000/150)</f>
        <v>302.29533599999996</v>
      </c>
      <c r="DJ38">
        <f>2*(2*N38*O38+2*N38*P38+2*O38*P38)*7850*2*(0.003*0.003*3.14)*(1000/100)</f>
        <v>453.44300399999997</v>
      </c>
      <c r="DK38">
        <f>2*(2*N38*O38+2*N38*P38+2*O38*P38)*7850*2*(0.004*0.004*3.14)*(1000/100)</f>
        <v>806.1208959999999</v>
      </c>
      <c r="DL38">
        <f>(N38+1.5)*(P38+R38)+(O38+1.8)*(P38+R38)</f>
        <v>33.11</v>
      </c>
      <c r="DN38">
        <f>2*(2*N38*O38+2*N38*P38+2*O38*P38)*7850*2*(0.006*0.006*3.14)*(1000/150)</f>
        <v>1209.1813439999999</v>
      </c>
      <c r="DP38">
        <f t="shared" si="99"/>
        <v>0</v>
      </c>
      <c r="DQ38">
        <f t="shared" si="100"/>
        <v>0</v>
      </c>
      <c r="DR38">
        <f t="shared" si="101"/>
        <v>0</v>
      </c>
      <c r="DU38" t="e">
        <f t="shared" si="102"/>
        <v>#VALUE!</v>
      </c>
    </row>
    <row r="39" spans="1:125" ht="17.25" x14ac:dyDescent="0.3">
      <c r="A39" s="72">
        <f t="shared" si="107"/>
        <v>1.4015359999999999</v>
      </c>
      <c r="B39" s="113"/>
      <c r="C39" s="28">
        <v>7</v>
      </c>
      <c r="D39" s="118"/>
      <c r="E39" s="72"/>
      <c r="F39" s="113"/>
      <c r="G39" s="113"/>
      <c r="H39" s="113"/>
      <c r="I39" s="314"/>
      <c r="J39" s="142" t="s">
        <v>204</v>
      </c>
      <c r="K39" s="320">
        <v>0</v>
      </c>
      <c r="L39" s="72"/>
      <c r="M39" s="323">
        <f t="shared" si="103"/>
        <v>1</v>
      </c>
      <c r="N39" s="118">
        <v>1.4359999999999999</v>
      </c>
      <c r="O39" s="72">
        <v>0.97599999999999998</v>
      </c>
      <c r="P39" s="72">
        <v>1.35</v>
      </c>
      <c r="Q39" s="72"/>
      <c r="R39" s="72"/>
      <c r="S39" s="222">
        <f t="shared" si="70"/>
        <v>1.8920736</v>
      </c>
      <c r="T39" s="290">
        <f t="shared" si="79"/>
        <v>0</v>
      </c>
      <c r="U39" s="290">
        <f t="shared" si="80"/>
        <v>0</v>
      </c>
      <c r="V39" s="290">
        <f t="shared" si="81"/>
        <v>0</v>
      </c>
      <c r="W39" s="48"/>
      <c r="X39" s="250" t="s">
        <v>158</v>
      </c>
      <c r="Y39" s="14" t="str">
        <f t="shared" si="71"/>
        <v>pro pl. šachtu</v>
      </c>
      <c r="Z39" s="16">
        <v>1</v>
      </c>
      <c r="AA39" s="16" t="s">
        <v>75</v>
      </c>
      <c r="AB39" s="181" t="s">
        <v>16</v>
      </c>
      <c r="AC39" s="260" t="str">
        <f t="shared" si="5"/>
        <v>Š19a</v>
      </c>
      <c r="AD39" s="263">
        <f t="shared" si="72"/>
        <v>0</v>
      </c>
      <c r="AE39" s="37" t="s">
        <v>23</v>
      </c>
      <c r="AF39" s="48" t="s">
        <v>249</v>
      </c>
      <c r="AG39" s="48">
        <f t="shared" si="108"/>
        <v>0</v>
      </c>
      <c r="AH39" s="48">
        <f t="shared" si="109"/>
        <v>0</v>
      </c>
      <c r="AI39" s="24" t="s">
        <v>23</v>
      </c>
      <c r="AJ39" s="307">
        <f t="shared" si="82"/>
        <v>0</v>
      </c>
      <c r="AK39" s="255" t="str">
        <f t="shared" si="74"/>
        <v>Š19a</v>
      </c>
      <c r="AL39" s="28" t="s">
        <v>22</v>
      </c>
      <c r="AM39" s="25">
        <f>IF(AL39="ano",2*((N39*P39+O39*P39)*2+N39*O39),0)</f>
        <v>15.827872000000001</v>
      </c>
      <c r="AN39" s="56">
        <f t="shared" si="110"/>
        <v>3.579936</v>
      </c>
      <c r="AO39" s="251" t="s">
        <v>249</v>
      </c>
      <c r="AP39" s="194">
        <f t="shared" si="111"/>
        <v>0</v>
      </c>
      <c r="AQ39" s="208"/>
      <c r="AR39" s="203">
        <f>IF(AQ39="ano",K39*(N39*O39+2*N39*P39+2*O39*P39),0)</f>
        <v>0</v>
      </c>
      <c r="AS39" s="189"/>
      <c r="AT39" s="198">
        <f t="shared" si="9"/>
        <v>1.5</v>
      </c>
      <c r="AU39" s="199">
        <f>K39*AY39*1.2</f>
        <v>0</v>
      </c>
      <c r="AV39" s="222">
        <f>(K39+M39)*IF(K39=1,AY39*0.15,IF(K39=0,AY39*0.1,0))</f>
        <v>0.35799360000000002</v>
      </c>
      <c r="AW39" s="118"/>
      <c r="AX39" s="103">
        <f t="shared" si="12"/>
        <v>0.7</v>
      </c>
      <c r="AY39" s="192">
        <f>(N39+AX39)*(O39+AX39)</f>
        <v>3.579936</v>
      </c>
      <c r="AZ39" s="192">
        <v>0</v>
      </c>
      <c r="BA39" s="192">
        <f>AZ39*AY39*(P39+R39+0.3)</f>
        <v>0</v>
      </c>
      <c r="BB39" s="113">
        <f>IF(AB41="terén",0,IF((P39+R39)&gt;3,6*2*((N39+2.4)+(O39+2.4)),0))</f>
        <v>0</v>
      </c>
      <c r="BC39" s="113">
        <f>IF(AA39="nástupiště",IF((P39+R39)&gt;2.5,2*((N39+2.4)+(O39+2.4)),0),0)</f>
        <v>0</v>
      </c>
      <c r="BD39" s="270">
        <f>IF((BB39+BC39)&gt;0.01,0,IF(AA38="nástupiště",0.25*((N39+2*AX39)+(O39+2*AX39)),2*((N39+2*AX39)+(O39+2*AX39))))</f>
        <v>1.3029999999999999</v>
      </c>
      <c r="BE39" s="228">
        <f>IF(AA39="terén",BA39-(AV39+N39*O39*P39),IF(AA39="nástupiště",AY39*P39-(AV39+N39*O39*P39),0))</f>
        <v>2.5828464000000002</v>
      </c>
      <c r="BF39" s="268">
        <f>CEILING(IF(K39=0,0,N39-0.8+O39-0.8),1)</f>
        <v>0</v>
      </c>
      <c r="BG39" s="268">
        <f>CEILING(IF(L39=0,0,O39-0.8+P39-0.8),1)</f>
        <v>0</v>
      </c>
      <c r="BH39" s="118"/>
      <c r="BI39" s="72">
        <f t="shared" si="68"/>
        <v>0</v>
      </c>
      <c r="BJ39" s="256" t="str">
        <f t="shared" si="78"/>
        <v>Š19a</v>
      </c>
      <c r="BK39" s="230">
        <f t="shared" si="83"/>
        <v>0</v>
      </c>
      <c r="BL39" s="3">
        <f t="shared" si="86"/>
        <v>0</v>
      </c>
      <c r="BM39" s="3">
        <f t="shared" si="87"/>
        <v>0</v>
      </c>
      <c r="BN39" s="10">
        <f>K39-(BU39+BV39+BW39+BX39+BY39)</f>
        <v>0</v>
      </c>
      <c r="BO39" s="3">
        <f>K39*IF(S39&lt;5,1,0)</f>
        <v>0</v>
      </c>
      <c r="BP39" s="3">
        <f>K39*IF(S39&lt;10.001,IF(S39&gt;5,1,0),0)</f>
        <v>0</v>
      </c>
      <c r="BQ39" s="3">
        <f>K39*IF(S39&lt;15.001,IF(S39&gt;10,1,0),0)</f>
        <v>0</v>
      </c>
      <c r="BR39" s="3">
        <f>K39*IF(S39&lt;20.001,IF(S39&gt;15,1,0),0)</f>
        <v>0</v>
      </c>
      <c r="BS39" s="3">
        <f>K39*IF(S39&gt;20,1,0)</f>
        <v>0</v>
      </c>
      <c r="BT39" s="3"/>
      <c r="BU39" s="3">
        <f>K39*IF(A39&lt;4.501,IF(A39&gt;2.5,1,0),0)</f>
        <v>0</v>
      </c>
      <c r="BV39" s="3">
        <f>K39*IF(A39&lt;5.501,IF(A39&gt;4.5001,1,0),0)</f>
        <v>0</v>
      </c>
      <c r="BW39" s="3">
        <f>K39*IF(A39&lt;6.501,IF(A39&gt;5.5001,1,0),0)</f>
        <v>0</v>
      </c>
      <c r="BX39" s="3">
        <f>K39*IF(A39&lt;7.501,IF(A39&gt;6.5001,1,0),0)</f>
        <v>0</v>
      </c>
      <c r="BY39" s="3">
        <f>K39*IF(A39&gt;7.501,1,0)</f>
        <v>0</v>
      </c>
      <c r="BZ39" s="3">
        <f>M39*IF(A39=1.352,1,0)</f>
        <v>0</v>
      </c>
      <c r="CA39" s="3">
        <f>M39*P39</f>
        <v>1.35</v>
      </c>
      <c r="CB39" s="3">
        <f>M39*IF(A39=1.859,1,0)</f>
        <v>0</v>
      </c>
      <c r="CC39" s="3">
        <f>M39*IF(A39=1.54,1,0)</f>
        <v>0</v>
      </c>
      <c r="CD39" s="3">
        <f>M39*IF(A39=1.12,1,0)</f>
        <v>0</v>
      </c>
      <c r="CE39" s="3">
        <f>M39*IF(A39=(0.55*0.715),1,0)</f>
        <v>0</v>
      </c>
      <c r="CF39" s="3">
        <f>M39*IF(A39=(1.02*0.715),1,0)</f>
        <v>0</v>
      </c>
      <c r="CG39" s="3">
        <f t="shared" si="88"/>
        <v>1</v>
      </c>
      <c r="CH39" s="3">
        <f t="shared" si="89"/>
        <v>0</v>
      </c>
      <c r="CI39" s="3"/>
      <c r="CJ39" s="3">
        <f>(N39+1.6)*(O39+1.6)*(K39+M39)</f>
        <v>7.8207360000000001</v>
      </c>
      <c r="CK39" s="3">
        <f>(N39+1.6+2)*(O39+1.6+2)</f>
        <v>23.044736</v>
      </c>
      <c r="CL39" s="3">
        <f t="shared" si="90"/>
        <v>180.22679644569601</v>
      </c>
      <c r="CM39" s="3">
        <f t="shared" si="91"/>
        <v>13.424857408765876</v>
      </c>
      <c r="CN39" s="10">
        <f>(P39+R39)</f>
        <v>1.35</v>
      </c>
      <c r="CO39" s="3">
        <f>(K39+M39)*(CN39/3)*(CJ39+CK39+CM39)</f>
        <v>19.930648233944645</v>
      </c>
      <c r="CP39" s="3">
        <f t="shared" si="92"/>
        <v>0</v>
      </c>
      <c r="CQ39" s="3">
        <f t="shared" si="93"/>
        <v>0</v>
      </c>
      <c r="CR39" s="3">
        <f t="shared" si="41"/>
        <v>0</v>
      </c>
      <c r="CS39" s="3"/>
      <c r="CT39" s="3">
        <f>(CP39-((N39+0.2)*(O39+0.2)*(P39+0.1)+K39*(1.3*1*R39)))*(K39+M39)</f>
        <v>-2.7897072000000001</v>
      </c>
      <c r="CU39" s="3">
        <f t="shared" si="94"/>
        <v>0</v>
      </c>
      <c r="CV39" s="3"/>
      <c r="CW39" s="3"/>
      <c r="CX39" s="3"/>
      <c r="DD39" t="e">
        <f t="shared" si="97"/>
        <v>#VALUE!</v>
      </c>
      <c r="DE39" t="e">
        <f t="shared" si="98"/>
        <v>#VALUE!</v>
      </c>
      <c r="DF39" t="e">
        <f>K39*((2*N39*(P39-AC39))+(2*O39*(P39-AC39))+(N39+0.25)*(O39+0.25))</f>
        <v>#VALUE!</v>
      </c>
      <c r="DG39">
        <f>((N39*O39*(P39-R39)-((N39-Q39*2)*(O39-Q39*2)*(P39-Q39*2))+((R39*1.1*1.4)-(R39*0.6*0.9)))*K39)</f>
        <v>0</v>
      </c>
      <c r="DH39">
        <f>(2*N39*O39+2*N39*P39+2*O39*P39)+(2*R39*1.1+2*R39*1.4)</f>
        <v>9.3154719999999998</v>
      </c>
      <c r="DI39">
        <f>2*(2*N39*O39+2*N39*P39+2*O39*P39)*7850*2*(0.003*0.003*3.14)*(1000/150)</f>
        <v>55.108096638720006</v>
      </c>
      <c r="DJ39">
        <f>2*(2*N39*O39+2*N39*P39+2*O39*P39)*7850*2*(0.003*0.003*3.14)*(1000/100)</f>
        <v>82.662144958080006</v>
      </c>
      <c r="DK39">
        <f>2*(2*N39*O39+2*N39*P39+2*O39*P39)*7850*2*(0.004*0.004*3.14)*(1000/100)</f>
        <v>146.95492436992001</v>
      </c>
      <c r="DL39">
        <f>(N39+1.5)*(P39+R39)+(O39+1.8)*(P39+R39)</f>
        <v>7.7111999999999998</v>
      </c>
      <c r="DN39">
        <f>2*(2*N39*O39+2*N39*P39+2*O39*P39)*7850*2*(0.006*0.006*3.14)*(1000/150)</f>
        <v>220.43238655488003</v>
      </c>
      <c r="DP39">
        <f t="shared" si="99"/>
        <v>0</v>
      </c>
      <c r="DQ39">
        <f t="shared" si="100"/>
        <v>0</v>
      </c>
      <c r="DR39">
        <f t="shared" si="101"/>
        <v>0</v>
      </c>
      <c r="DU39" t="e">
        <f t="shared" si="102"/>
        <v>#VALUE!</v>
      </c>
    </row>
    <row r="40" spans="1:125" ht="17.25" x14ac:dyDescent="0.3">
      <c r="A40" s="72"/>
      <c r="B40" s="113"/>
      <c r="C40" s="28">
        <v>2</v>
      </c>
      <c r="D40" s="118"/>
      <c r="E40" s="72"/>
      <c r="F40" s="113"/>
      <c r="G40" s="113"/>
      <c r="H40" s="113"/>
      <c r="I40" s="314"/>
      <c r="J40" s="142" t="s">
        <v>294</v>
      </c>
      <c r="K40" s="320">
        <v>0</v>
      </c>
      <c r="L40" s="72"/>
      <c r="M40" s="323">
        <f t="shared" si="103"/>
        <v>1</v>
      </c>
      <c r="N40" s="118">
        <v>1.4359999999999999</v>
      </c>
      <c r="O40" s="72">
        <v>0.97599999999999998</v>
      </c>
      <c r="P40" s="72">
        <v>1.35</v>
      </c>
      <c r="Q40" s="72"/>
      <c r="R40" s="72"/>
      <c r="S40" s="222">
        <f t="shared" si="70"/>
        <v>1.8920736</v>
      </c>
      <c r="T40" s="290">
        <f t="shared" ref="T40" si="112">(N40*P40*Q40)*2+(O40*P40*Q40)*2</f>
        <v>0</v>
      </c>
      <c r="U40" s="290">
        <f t="shared" ref="U40" si="113">T40+(Q40*R40*1.3)*2+(Q40*R40*1)*2</f>
        <v>0</v>
      </c>
      <c r="V40" s="290">
        <f t="shared" si="81"/>
        <v>0</v>
      </c>
      <c r="W40" s="48"/>
      <c r="X40" s="250" t="s">
        <v>158</v>
      </c>
      <c r="Y40" s="14" t="str">
        <f t="shared" si="71"/>
        <v>pro pl. šachtu</v>
      </c>
      <c r="Z40" s="16">
        <v>1</v>
      </c>
      <c r="AA40" s="16" t="s">
        <v>75</v>
      </c>
      <c r="AB40" s="181" t="s">
        <v>16</v>
      </c>
      <c r="AC40" s="260" t="str">
        <f t="shared" si="5"/>
        <v>Š19b</v>
      </c>
      <c r="AD40" s="263">
        <f t="shared" si="72"/>
        <v>0</v>
      </c>
      <c r="AE40" s="37" t="s">
        <v>218</v>
      </c>
      <c r="AF40" s="48" t="s">
        <v>249</v>
      </c>
      <c r="AG40" s="48">
        <f t="shared" si="108"/>
        <v>0</v>
      </c>
      <c r="AH40" s="48">
        <f t="shared" si="109"/>
        <v>0</v>
      </c>
      <c r="AI40" s="24" t="s">
        <v>249</v>
      </c>
      <c r="AJ40" s="307">
        <f t="shared" si="82"/>
        <v>0</v>
      </c>
      <c r="AK40" s="255" t="str">
        <f t="shared" si="74"/>
        <v>Š19b</v>
      </c>
      <c r="AL40" s="28"/>
      <c r="AM40" s="25"/>
      <c r="AN40" s="56"/>
      <c r="AO40" s="251" t="s">
        <v>249</v>
      </c>
      <c r="AP40" s="194">
        <f t="shared" si="111"/>
        <v>0</v>
      </c>
      <c r="AQ40" s="208"/>
      <c r="AR40" s="203"/>
      <c r="AS40" s="189"/>
      <c r="AT40" s="198">
        <f t="shared" si="9"/>
        <v>1.5</v>
      </c>
      <c r="AU40" s="199"/>
      <c r="AV40" s="222"/>
      <c r="AW40" s="118"/>
      <c r="AX40" s="103">
        <f t="shared" si="12"/>
        <v>0.7</v>
      </c>
      <c r="AY40" s="192"/>
      <c r="AZ40" s="192"/>
      <c r="BA40" s="192"/>
      <c r="BB40" s="113"/>
      <c r="BC40" s="113"/>
      <c r="BD40" s="270"/>
      <c r="BE40" s="228"/>
      <c r="BF40" s="268"/>
      <c r="BG40" s="268"/>
      <c r="BH40" s="118"/>
      <c r="BI40" s="72"/>
      <c r="BJ40" s="256" t="str">
        <f t="shared" si="78"/>
        <v>Š19b</v>
      </c>
      <c r="BK40" s="230"/>
      <c r="BL40" s="3">
        <f t="shared" si="86"/>
        <v>0</v>
      </c>
      <c r="BM40" s="3">
        <f t="shared" si="87"/>
        <v>0</v>
      </c>
      <c r="BN40" s="10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>
        <f t="shared" si="89"/>
        <v>0</v>
      </c>
      <c r="CI40" s="3"/>
      <c r="CJ40" s="3"/>
      <c r="CK40" s="3"/>
      <c r="CL40" s="3"/>
      <c r="CM40" s="3"/>
      <c r="CN40" s="10"/>
      <c r="CO40" s="3"/>
      <c r="CP40" s="3"/>
      <c r="CQ40" s="3"/>
      <c r="CR40" s="3">
        <f t="shared" si="41"/>
        <v>0</v>
      </c>
      <c r="CS40" s="3"/>
      <c r="CT40" s="3"/>
      <c r="CU40" s="3"/>
      <c r="CV40" s="3"/>
      <c r="CW40" s="3"/>
      <c r="CX40" s="3"/>
      <c r="DD40" t="e">
        <f t="shared" si="97"/>
        <v>#VALUE!</v>
      </c>
      <c r="DE40" t="e">
        <f t="shared" si="98"/>
        <v>#VALUE!</v>
      </c>
      <c r="DP40">
        <f t="shared" si="99"/>
        <v>0</v>
      </c>
      <c r="DQ40">
        <f t="shared" si="100"/>
        <v>0</v>
      </c>
      <c r="DR40">
        <f t="shared" si="101"/>
        <v>0</v>
      </c>
      <c r="DU40" t="e">
        <f t="shared" si="102"/>
        <v>#VALUE!</v>
      </c>
    </row>
    <row r="41" spans="1:125" ht="17.25" x14ac:dyDescent="0.3">
      <c r="A41" s="72">
        <f t="shared" si="107"/>
        <v>5.4600000000000009</v>
      </c>
      <c r="B41" s="113"/>
      <c r="C41" s="28"/>
      <c r="D41" s="118">
        <v>8</v>
      </c>
      <c r="E41" s="72"/>
      <c r="F41" s="113"/>
      <c r="G41" s="113"/>
      <c r="H41" s="113"/>
      <c r="I41" s="314"/>
      <c r="J41" s="142" t="s">
        <v>205</v>
      </c>
      <c r="K41" s="213">
        <v>1</v>
      </c>
      <c r="L41" s="72"/>
      <c r="M41" s="27">
        <f t="shared" si="103"/>
        <v>0</v>
      </c>
      <c r="N41" s="118">
        <v>2.6</v>
      </c>
      <c r="O41" s="72">
        <v>2.1</v>
      </c>
      <c r="P41" s="72">
        <v>3.5</v>
      </c>
      <c r="Q41" s="72">
        <v>0.2</v>
      </c>
      <c r="R41" s="72">
        <v>0.35</v>
      </c>
      <c r="S41" s="222">
        <f t="shared" si="70"/>
        <v>19.110000000000003</v>
      </c>
      <c r="T41" s="290">
        <f t="shared" si="79"/>
        <v>6.58</v>
      </c>
      <c r="U41" s="290">
        <f t="shared" si="80"/>
        <v>6.9020000000000001</v>
      </c>
      <c r="V41" s="290">
        <f t="shared" si="81"/>
        <v>1760.01</v>
      </c>
      <c r="W41" s="48"/>
      <c r="X41" s="250" t="s">
        <v>158</v>
      </c>
      <c r="Y41" s="14" t="str">
        <f t="shared" si="71"/>
        <v>ŽB. šachta</v>
      </c>
      <c r="Z41" s="16">
        <v>1</v>
      </c>
      <c r="AA41" s="16" t="s">
        <v>75</v>
      </c>
      <c r="AB41" s="181" t="s">
        <v>16</v>
      </c>
      <c r="AC41" s="260" t="str">
        <f t="shared" si="5"/>
        <v>Š20</v>
      </c>
      <c r="AD41" s="263">
        <f t="shared" si="72"/>
        <v>1</v>
      </c>
      <c r="AE41" s="37" t="s">
        <v>217</v>
      </c>
      <c r="AF41" s="48" t="s">
        <v>184</v>
      </c>
      <c r="AG41" s="48">
        <f t="shared" si="108"/>
        <v>37.820000000000007</v>
      </c>
      <c r="AH41" s="48">
        <f t="shared" si="109"/>
        <v>37.820000000000007</v>
      </c>
      <c r="AI41" s="24" t="s">
        <v>184</v>
      </c>
      <c r="AJ41" s="307">
        <f t="shared" si="82"/>
        <v>87.640000000000015</v>
      </c>
      <c r="AK41" s="255" t="str">
        <f t="shared" si="74"/>
        <v>Š20</v>
      </c>
      <c r="AL41" s="28" t="s">
        <v>22</v>
      </c>
      <c r="AM41" s="25">
        <f>IF(AL41="ano",2*((N41*P41+O41*P41)*2+N41*O41),0)</f>
        <v>76.72</v>
      </c>
      <c r="AN41" s="56">
        <f t="shared" si="110"/>
        <v>12.54</v>
      </c>
      <c r="AO41" s="251" t="s">
        <v>22</v>
      </c>
      <c r="AP41" s="194">
        <f t="shared" si="111"/>
        <v>4.0740000000000016</v>
      </c>
      <c r="AQ41" s="208"/>
      <c r="AR41" s="203">
        <f>IF(AQ41="ano",K41*(N41*O41+2*N41*P41+2*O41*P41),0)</f>
        <v>0</v>
      </c>
      <c r="AS41" s="189"/>
      <c r="AT41" s="198">
        <f t="shared" si="9"/>
        <v>0</v>
      </c>
      <c r="AU41" s="199">
        <f>K41*AY41*1.2</f>
        <v>15.047999999999998</v>
      </c>
      <c r="AV41" s="222">
        <f>(K41+M41)*IF(K41=1,AY41*0.15,IF(K41=0,AY41*0.1,0))</f>
        <v>1.8809999999999998</v>
      </c>
      <c r="AW41" s="118"/>
      <c r="AX41" s="103">
        <f t="shared" si="12"/>
        <v>1.2</v>
      </c>
      <c r="AY41" s="192">
        <f>(N41+AX41)*(O41+AX41)</f>
        <v>12.54</v>
      </c>
      <c r="AZ41" s="192">
        <v>0.75</v>
      </c>
      <c r="BA41" s="192">
        <f>AZ41*AY41*(P41+R41+0.3)</f>
        <v>39.030749999999998</v>
      </c>
      <c r="BB41" s="113">
        <f>CEILING(6*IF(K41=0,0,IF(AA41="nástupiště",0,2*N41+2.4+2*O41))*(P41+R41),1)</f>
        <v>0</v>
      </c>
      <c r="BC41" s="113">
        <f>IF(AA41="nástupiště",IF((P41+R41)&gt;2.5,2*((N41+2.4)+(O41+2.4)),0),0)</f>
        <v>19</v>
      </c>
      <c r="BD41" s="270">
        <f>IF((BB41+BC41)&gt;0.01,0,IF(AA39="nástupiště",0.25*((N41+2*AX41)+(O41+2*AX41)),2*((N41+2*AX41)+(O41+2*AX41))))</f>
        <v>0</v>
      </c>
      <c r="BE41" s="228">
        <f>IF(AA41="terén",BA41-(AV41+N41*O41*P41),IF(AA41="nástupiště",AY41*P41-(AV41+N41*O41*P41),0))</f>
        <v>22.898999999999997</v>
      </c>
      <c r="BF41" s="268">
        <v>2</v>
      </c>
      <c r="BG41" s="268">
        <f>BF41*IF(K41=0,0,N41-0.8)</f>
        <v>3.6</v>
      </c>
      <c r="BH41" s="118">
        <v>6</v>
      </c>
      <c r="BI41" s="72">
        <f t="shared" ref="BI41" si="114">BF41*BH41*15</f>
        <v>180</v>
      </c>
      <c r="BJ41" s="256" t="str">
        <f t="shared" si="78"/>
        <v>Š20</v>
      </c>
      <c r="BK41" s="230">
        <f t="shared" si="83"/>
        <v>10.8</v>
      </c>
      <c r="BL41" s="3">
        <f t="shared" si="86"/>
        <v>1</v>
      </c>
      <c r="BM41" s="3">
        <f t="shared" si="87"/>
        <v>1</v>
      </c>
      <c r="BN41" s="10">
        <f>K41-(BU41+BV41+BW41+BX41+BY41)</f>
        <v>0</v>
      </c>
      <c r="BO41" s="3">
        <f>K41*IF(S41&lt;5,1,0)</f>
        <v>0</v>
      </c>
      <c r="BP41" s="3">
        <f>K41*IF(S41&lt;10.001,IF(S41&gt;5,1,0),0)</f>
        <v>0</v>
      </c>
      <c r="BQ41" s="3">
        <f>K41*IF(S41&lt;15.001,IF(S41&gt;10,1,0),0)</f>
        <v>0</v>
      </c>
      <c r="BR41" s="3">
        <f>K41*IF(S41&lt;20.001,IF(S41&gt;15,1,0),0)</f>
        <v>1</v>
      </c>
      <c r="BS41" s="3">
        <f>K41*IF(S41&gt;20,1,0)</f>
        <v>0</v>
      </c>
      <c r="BT41" s="3"/>
      <c r="BU41" s="3">
        <f>K41*IF(A41&lt;4.501,IF(A41&gt;2.5,1,0),0)</f>
        <v>0</v>
      </c>
      <c r="BV41" s="3">
        <f>K41*IF(A41&lt;5.501,IF(A41&gt;4.5001,1,0),0)</f>
        <v>1</v>
      </c>
      <c r="BW41" s="3">
        <f>K41*IF(A41&lt;6.501,IF(A41&gt;5.5001,1,0),0)</f>
        <v>0</v>
      </c>
      <c r="BX41" s="3">
        <f>K41*IF(A41&lt;7.501,IF(A41&gt;6.5001,1,0),0)</f>
        <v>0</v>
      </c>
      <c r="BY41" s="3">
        <f>K41*IF(A41&gt;7.501,1,0)</f>
        <v>0</v>
      </c>
      <c r="BZ41" s="3">
        <f>M41*IF(A41=1.352,1,0)</f>
        <v>0</v>
      </c>
      <c r="CA41" s="3">
        <f>M41*P41</f>
        <v>0</v>
      </c>
      <c r="CB41" s="3">
        <f>M41*IF(A41=1.859,1,0)</f>
        <v>0</v>
      </c>
      <c r="CC41" s="3">
        <f>M41*IF(A41=1.54,1,0)</f>
        <v>0</v>
      </c>
      <c r="CD41" s="3">
        <f>M41*IF(A41=1.12,1,0)</f>
        <v>0</v>
      </c>
      <c r="CE41" s="3">
        <f>M41*IF(A41=(0.55*0.715),1,0)</f>
        <v>0</v>
      </c>
      <c r="CF41" s="3">
        <f>M41*IF(A41=(1.02*0.715),1,0)</f>
        <v>0</v>
      </c>
      <c r="CG41" s="3">
        <f t="shared" si="88"/>
        <v>1</v>
      </c>
      <c r="CH41" s="3">
        <f t="shared" si="89"/>
        <v>1</v>
      </c>
      <c r="CI41" s="3"/>
      <c r="CJ41" s="3">
        <f>(N41+1.6)*(O41+1.6)*(K41+M41)</f>
        <v>15.540000000000001</v>
      </c>
      <c r="CK41" s="3">
        <f>(N41+1.6+2)*(O41+1.6+2)</f>
        <v>35.340000000000003</v>
      </c>
      <c r="CL41" s="3">
        <f t="shared" si="90"/>
        <v>549.18360000000007</v>
      </c>
      <c r="CM41" s="3">
        <f t="shared" si="91"/>
        <v>23.434666628736156</v>
      </c>
      <c r="CN41" s="10">
        <f>(P41+R41)</f>
        <v>3.85</v>
      </c>
      <c r="CO41" s="3">
        <f>(K41+M41)*(CN41/3)*(CJ41+CK41+CM41)</f>
        <v>95.370488840211422</v>
      </c>
      <c r="CP41" s="3">
        <f t="shared" si="92"/>
        <v>47.685244420105711</v>
      </c>
      <c r="CQ41" s="3">
        <f t="shared" si="93"/>
        <v>0.5</v>
      </c>
      <c r="CR41" s="3">
        <f t="shared" si="41"/>
        <v>0.5</v>
      </c>
      <c r="CS41" s="3"/>
      <c r="CT41" s="3">
        <f>(CP41-((N41+0.2)*(O41+0.2)*(P41+0.1)+K41*(1.3*1*R41)))*(K41+M41)</f>
        <v>24.046244420105708</v>
      </c>
      <c r="CU41" s="3">
        <f t="shared" si="94"/>
        <v>24.046244420105708</v>
      </c>
      <c r="CV41" s="3"/>
      <c r="CW41" s="3"/>
      <c r="CX41" s="3"/>
      <c r="DD41" t="e">
        <f t="shared" si="97"/>
        <v>#VALUE!</v>
      </c>
      <c r="DE41" t="e">
        <f t="shared" si="98"/>
        <v>#VALUE!</v>
      </c>
      <c r="DF41" t="e">
        <f>K41*((2*N41*(P41-AC41))+(2*O41*(P41-AC41))+(N41+0.25)*(O41+0.25))</f>
        <v>#VALUE!</v>
      </c>
      <c r="DG41">
        <f>((N41*O41*(P41-R41)-((N41-Q41*2)*(O41-Q41*2)*(P41-Q41*2))+((R41*1.1*1.4)-(R41*0.6*0.9)))*K41)</f>
        <v>5.9549999999999983</v>
      </c>
      <c r="DH41">
        <f>(2*N41*O41+2*N41*P41+2*O41*P41)+(2*R41*1.1+2*R41*1.4)</f>
        <v>45.57</v>
      </c>
      <c r="DI41">
        <f>2*(2*N41*O41+2*N41*P41+2*O41*P41)*7850*2*(0.003*0.003*3.14)*(1000/150)</f>
        <v>259.22860320000007</v>
      </c>
      <c r="DJ41">
        <f>2*(2*N41*O41+2*N41*P41+2*O41*P41)*7850*2*(0.003*0.003*3.14)*(1000/100)</f>
        <v>388.84290480000004</v>
      </c>
      <c r="DK41">
        <f>2*(2*N41*O41+2*N41*P41+2*O41*P41)*7850*2*(0.004*0.004*3.14)*(1000/100)</f>
        <v>691.2762752000001</v>
      </c>
      <c r="DL41">
        <f>(N41+1.5)*(P41+R41)+(O41+1.8)*(P41+R41)</f>
        <v>30.8</v>
      </c>
      <c r="DN41">
        <f>2*(2*N41*O41+2*N41*P41+2*O41*P41)*7850*2*(0.006*0.006*3.14)*(1000/150)</f>
        <v>1036.9144128000003</v>
      </c>
      <c r="DP41">
        <f t="shared" si="99"/>
        <v>0</v>
      </c>
      <c r="DQ41">
        <f t="shared" si="100"/>
        <v>0</v>
      </c>
      <c r="DR41">
        <f t="shared" si="101"/>
        <v>0</v>
      </c>
      <c r="DU41" t="e">
        <f t="shared" si="102"/>
        <v>#VALUE!</v>
      </c>
    </row>
    <row r="42" spans="1:125" ht="17.25" x14ac:dyDescent="0.3">
      <c r="A42" s="72">
        <f t="shared" si="107"/>
        <v>1.4015359999999999</v>
      </c>
      <c r="B42" s="113"/>
      <c r="C42" s="28">
        <v>12</v>
      </c>
      <c r="D42" s="118"/>
      <c r="E42" s="72"/>
      <c r="F42" s="113"/>
      <c r="G42" s="113"/>
      <c r="H42" s="113"/>
      <c r="I42" s="314"/>
      <c r="J42" s="142" t="s">
        <v>206</v>
      </c>
      <c r="K42" s="320">
        <v>0</v>
      </c>
      <c r="L42" s="72"/>
      <c r="M42" s="323">
        <f t="shared" si="103"/>
        <v>1</v>
      </c>
      <c r="N42" s="118">
        <v>1.4359999999999999</v>
      </c>
      <c r="O42" s="72">
        <v>0.97599999999999998</v>
      </c>
      <c r="P42" s="72">
        <v>1.35</v>
      </c>
      <c r="Q42" s="72"/>
      <c r="R42" s="72"/>
      <c r="S42" s="222">
        <f t="shared" si="70"/>
        <v>1.8920736</v>
      </c>
      <c r="T42" s="290">
        <f t="shared" si="79"/>
        <v>0</v>
      </c>
      <c r="U42" s="290">
        <f t="shared" si="80"/>
        <v>0</v>
      </c>
      <c r="V42" s="290">
        <f t="shared" si="81"/>
        <v>0</v>
      </c>
      <c r="W42" s="48"/>
      <c r="X42" s="250" t="s">
        <v>158</v>
      </c>
      <c r="Y42" s="14" t="str">
        <f t="shared" si="71"/>
        <v>pro pl. šachtu</v>
      </c>
      <c r="Z42" s="16">
        <v>1</v>
      </c>
      <c r="AA42" s="16" t="s">
        <v>75</v>
      </c>
      <c r="AB42" s="181" t="s">
        <v>16</v>
      </c>
      <c r="AC42" s="260" t="str">
        <f t="shared" si="5"/>
        <v>Š20a</v>
      </c>
      <c r="AD42" s="263">
        <f t="shared" si="72"/>
        <v>0</v>
      </c>
      <c r="AE42" s="37" t="s">
        <v>23</v>
      </c>
      <c r="AF42" s="48" t="s">
        <v>249</v>
      </c>
      <c r="AG42" s="48">
        <f t="shared" si="108"/>
        <v>0</v>
      </c>
      <c r="AH42" s="48">
        <f t="shared" si="109"/>
        <v>0</v>
      </c>
      <c r="AI42" s="24" t="s">
        <v>23</v>
      </c>
      <c r="AJ42" s="307">
        <f t="shared" si="82"/>
        <v>0</v>
      </c>
      <c r="AK42" s="255" t="str">
        <f t="shared" si="74"/>
        <v>Š20a</v>
      </c>
      <c r="AL42" s="28" t="s">
        <v>22</v>
      </c>
      <c r="AM42" s="25">
        <f>IF(AL42="ano",2*((N42*P42+O42*P42)*2+N42*O42),0)</f>
        <v>15.827872000000001</v>
      </c>
      <c r="AN42" s="56">
        <f t="shared" si="110"/>
        <v>3.579936</v>
      </c>
      <c r="AO42" s="251" t="s">
        <v>249</v>
      </c>
      <c r="AP42" s="194">
        <f t="shared" si="111"/>
        <v>0</v>
      </c>
      <c r="AQ42" s="208"/>
      <c r="AR42" s="203">
        <f>IF(AQ42="ano",K42*(N42*O42+2*N42*P42+2*O42*P42),0)</f>
        <v>0</v>
      </c>
      <c r="AS42" s="189"/>
      <c r="AT42" s="198">
        <f t="shared" si="9"/>
        <v>1.5</v>
      </c>
      <c r="AU42" s="199">
        <f>K42*AY42*1.2</f>
        <v>0</v>
      </c>
      <c r="AV42" s="222">
        <f>(K42+M42)*IF(K42=1,AY42*0.15,IF(K42=0,AY42*0.1,0))</f>
        <v>0.35799360000000002</v>
      </c>
      <c r="AW42" s="118"/>
      <c r="AX42" s="103">
        <f t="shared" si="12"/>
        <v>0.7</v>
      </c>
      <c r="AY42" s="192">
        <f>(N42+AX42)*(O42+AX42)</f>
        <v>3.579936</v>
      </c>
      <c r="AZ42" s="192">
        <v>0</v>
      </c>
      <c r="BA42" s="192">
        <f>AZ42*AY42*(P42+R42+0.3)</f>
        <v>0</v>
      </c>
      <c r="BB42" s="113">
        <f>CEILING(6*IF(K42=0,0,IF(AA42="nástupiště",0,2*N42+2.4+2*O42))*(P42+R42),1)</f>
        <v>0</v>
      </c>
      <c r="BC42" s="113">
        <f>IF(AA42="nástupiště",IF((P42+R42)&gt;2.5,2*((N42+2.4)+(O42+2.4)),0),0)</f>
        <v>0</v>
      </c>
      <c r="BD42" s="270">
        <f>IF((BB42+BC42)&gt;0.01,0,IF(AA41="nástupiště",0.25*((N42+2*AX42)+(O42+2*AX42)),2*((N42+2*AX42)+(O42+2*AX42))))</f>
        <v>1.3029999999999999</v>
      </c>
      <c r="BE42" s="228">
        <f>IF(AA42="terén",BA42-(AV42+N42*O42*P42),IF(AA42="nástupiště",AY42*P42-(AV42+N42*O42*P42),0))</f>
        <v>2.5828464000000002</v>
      </c>
      <c r="BF42" s="268">
        <f>CEILING(IF(K42=0,0,N42-0.8+O42-0.8),1)</f>
        <v>0</v>
      </c>
      <c r="BG42" s="268">
        <f>CEILING(IF(L42=0,0,O42-0.8+P42-0.8),1)</f>
        <v>0</v>
      </c>
      <c r="BH42" s="118"/>
      <c r="BI42" s="72">
        <f t="shared" si="68"/>
        <v>0</v>
      </c>
      <c r="BJ42" s="256" t="str">
        <f t="shared" si="78"/>
        <v>Š20a</v>
      </c>
      <c r="BK42" s="230">
        <f t="shared" si="83"/>
        <v>0</v>
      </c>
      <c r="BL42" s="3">
        <f t="shared" si="86"/>
        <v>0</v>
      </c>
      <c r="BM42" s="3">
        <f t="shared" si="87"/>
        <v>0</v>
      </c>
      <c r="BN42" s="10">
        <f>K42-(BU42+BV42+BW42+BX42+BY42)</f>
        <v>0</v>
      </c>
      <c r="BO42" s="3">
        <f>K42*IF(S42&lt;5,1,0)</f>
        <v>0</v>
      </c>
      <c r="BP42" s="3">
        <f>K42*IF(S42&lt;10.001,IF(S42&gt;5,1,0),0)</f>
        <v>0</v>
      </c>
      <c r="BQ42" s="3">
        <f>K42*IF(S42&lt;15.001,IF(S42&gt;10,1,0),0)</f>
        <v>0</v>
      </c>
      <c r="BR42" s="3">
        <f>K42*IF(S42&lt;20.001,IF(S42&gt;15,1,0),0)</f>
        <v>0</v>
      </c>
      <c r="BS42" s="3">
        <f>K42*IF(S42&gt;20,1,0)</f>
        <v>0</v>
      </c>
      <c r="BT42" s="3"/>
      <c r="BU42" s="3">
        <f>K42*IF(A42&lt;4.501,IF(A42&gt;2.5,1,0),0)</f>
        <v>0</v>
      </c>
      <c r="BV42" s="3">
        <f>K42*IF(A42&lt;5.501,IF(A42&gt;4.5001,1,0),0)</f>
        <v>0</v>
      </c>
      <c r="BW42" s="3">
        <f>K42*IF(A42&lt;6.501,IF(A42&gt;5.5001,1,0),0)</f>
        <v>0</v>
      </c>
      <c r="BX42" s="3">
        <f>K42*IF(A42&lt;7.501,IF(A42&gt;6.5001,1,0),0)</f>
        <v>0</v>
      </c>
      <c r="BY42" s="3">
        <f>K42*IF(A42&gt;7.501,1,0)</f>
        <v>0</v>
      </c>
      <c r="BZ42" s="3">
        <f>M42*IF(A42=1.352,1,0)</f>
        <v>0</v>
      </c>
      <c r="CA42" s="3">
        <f>M42*P42</f>
        <v>1.35</v>
      </c>
      <c r="CB42" s="3">
        <f>M42*IF(A42=1.859,1,0)</f>
        <v>0</v>
      </c>
      <c r="CC42" s="3">
        <f>M42*IF(A42=1.54,1,0)</f>
        <v>0</v>
      </c>
      <c r="CD42" s="3">
        <f>M42*IF(A42=1.12,1,0)</f>
        <v>0</v>
      </c>
      <c r="CE42" s="3">
        <f>M42*IF(A42=(0.55*0.715),1,0)</f>
        <v>0</v>
      </c>
      <c r="CF42" s="3">
        <f>M42*IF(A42=(1.02*0.715),1,0)</f>
        <v>0</v>
      </c>
      <c r="CG42" s="3">
        <f t="shared" si="88"/>
        <v>1</v>
      </c>
      <c r="CH42" s="3">
        <f t="shared" si="89"/>
        <v>0</v>
      </c>
      <c r="CI42" s="3"/>
      <c r="CJ42" s="3">
        <f>(N42+1.6)*(O42+1.6)*(K42+M42)</f>
        <v>7.8207360000000001</v>
      </c>
      <c r="CK42" s="3">
        <f>(N42+1.6+2)*(O42+1.6+2)</f>
        <v>23.044736</v>
      </c>
      <c r="CL42" s="3">
        <f t="shared" si="90"/>
        <v>180.22679644569601</v>
      </c>
      <c r="CM42" s="3">
        <f t="shared" si="91"/>
        <v>13.424857408765876</v>
      </c>
      <c r="CN42" s="10">
        <f>(P42+R42)</f>
        <v>1.35</v>
      </c>
      <c r="CO42" s="3">
        <f>(K42+M42)*(CN42/3)*(CJ42+CK42+CM42)</f>
        <v>19.930648233944645</v>
      </c>
      <c r="CP42" s="3">
        <f t="shared" si="92"/>
        <v>0</v>
      </c>
      <c r="CQ42" s="3">
        <f t="shared" si="93"/>
        <v>0</v>
      </c>
      <c r="CR42" s="3">
        <f t="shared" si="41"/>
        <v>0</v>
      </c>
      <c r="CS42" s="3"/>
      <c r="CT42" s="3">
        <f>(CP42-((N42+0.2)*(O42+0.2)*(P42+0.1)+K42*(1.3*1*R42)))*(K42+M42)</f>
        <v>-2.7897072000000001</v>
      </c>
      <c r="CU42" s="3">
        <f t="shared" si="94"/>
        <v>0</v>
      </c>
      <c r="CV42" s="3"/>
      <c r="CW42" s="3"/>
      <c r="CX42" s="3"/>
      <c r="DD42" t="e">
        <f t="shared" si="97"/>
        <v>#VALUE!</v>
      </c>
      <c r="DE42" t="e">
        <f t="shared" si="98"/>
        <v>#VALUE!</v>
      </c>
      <c r="DF42" t="e">
        <f>K42*((2*N42*(P42-AC42))+(2*O42*(P42-AC42))+(N42+0.25)*(O42+0.25))</f>
        <v>#VALUE!</v>
      </c>
      <c r="DG42">
        <f>((N42*O42*(P42-R42)-((N42-Q42*2)*(O42-Q42*2)*(P42-Q42*2))+((R42*1.1*1.4)-(R42*0.6*0.9)))*K42)</f>
        <v>0</v>
      </c>
      <c r="DH42">
        <f>(2*N42*O42+2*N42*P42+2*O42*P42)+(2*R42*1.1+2*R42*1.4)</f>
        <v>9.3154719999999998</v>
      </c>
      <c r="DI42">
        <f>2*(2*N42*O42+2*N42*P42+2*O42*P42)*7850*2*(0.003*0.003*3.14)*(1000/150)</f>
        <v>55.108096638720006</v>
      </c>
      <c r="DJ42">
        <f>2*(2*N42*O42+2*N42*P42+2*O42*P42)*7850*2*(0.003*0.003*3.14)*(1000/100)</f>
        <v>82.662144958080006</v>
      </c>
      <c r="DK42">
        <f>2*(2*N42*O42+2*N42*P42+2*O42*P42)*7850*2*(0.004*0.004*3.14)*(1000/100)</f>
        <v>146.95492436992001</v>
      </c>
      <c r="DL42">
        <f>(N42+1.5)*(P42+R42)+(O42+1.8)*(P42+R42)</f>
        <v>7.7111999999999998</v>
      </c>
      <c r="DN42">
        <f>2*(2*N42*O42+2*N42*P42+2*O42*P42)*7850*2*(0.006*0.006*3.14)*(1000/150)</f>
        <v>220.43238655488003</v>
      </c>
      <c r="DP42">
        <f t="shared" si="99"/>
        <v>0</v>
      </c>
      <c r="DQ42">
        <f t="shared" si="100"/>
        <v>0</v>
      </c>
      <c r="DR42">
        <f t="shared" si="101"/>
        <v>0</v>
      </c>
      <c r="DU42" t="e">
        <f t="shared" si="102"/>
        <v>#VALUE!</v>
      </c>
    </row>
    <row r="43" spans="1:125" ht="17.25" x14ac:dyDescent="0.3">
      <c r="A43" s="72"/>
      <c r="B43" s="113"/>
      <c r="C43" s="28">
        <v>2</v>
      </c>
      <c r="D43" s="118"/>
      <c r="E43" s="72"/>
      <c r="F43" s="113"/>
      <c r="G43" s="113"/>
      <c r="H43" s="113"/>
      <c r="I43" s="314"/>
      <c r="J43" s="142" t="s">
        <v>293</v>
      </c>
      <c r="K43" s="320">
        <v>0</v>
      </c>
      <c r="L43" s="72"/>
      <c r="M43" s="323">
        <f t="shared" si="103"/>
        <v>1</v>
      </c>
      <c r="N43" s="118">
        <v>1.4359999999999999</v>
      </c>
      <c r="O43" s="72">
        <v>0.97599999999999998</v>
      </c>
      <c r="P43" s="72">
        <v>1.35</v>
      </c>
      <c r="Q43" s="72"/>
      <c r="R43" s="72"/>
      <c r="S43" s="222">
        <f t="shared" si="70"/>
        <v>1.8920736</v>
      </c>
      <c r="T43" s="290">
        <f t="shared" ref="T43" si="115">(N43*P43*Q43)*2+(O43*P43*Q43)*2</f>
        <v>0</v>
      </c>
      <c r="U43" s="290">
        <f t="shared" ref="U43" si="116">T43+(Q43*R43*1.3)*2+(Q43*R43*1)*2</f>
        <v>0</v>
      </c>
      <c r="V43" s="290">
        <f t="shared" si="81"/>
        <v>0</v>
      </c>
      <c r="W43" s="48"/>
      <c r="X43" s="250" t="s">
        <v>158</v>
      </c>
      <c r="Y43" s="14" t="str">
        <f t="shared" si="71"/>
        <v>pro pl. šachtu</v>
      </c>
      <c r="Z43" s="16">
        <v>1</v>
      </c>
      <c r="AA43" s="16" t="s">
        <v>75</v>
      </c>
      <c r="AB43" s="181" t="s">
        <v>16</v>
      </c>
      <c r="AC43" s="260" t="str">
        <f t="shared" si="5"/>
        <v>Š20b</v>
      </c>
      <c r="AD43" s="263">
        <f t="shared" si="72"/>
        <v>0</v>
      </c>
      <c r="AE43" s="37" t="s">
        <v>249</v>
      </c>
      <c r="AF43" s="48" t="s">
        <v>249</v>
      </c>
      <c r="AG43" s="48">
        <f t="shared" si="108"/>
        <v>0</v>
      </c>
      <c r="AH43" s="48">
        <f t="shared" si="109"/>
        <v>0</v>
      </c>
      <c r="AI43" s="24" t="s">
        <v>249</v>
      </c>
      <c r="AJ43" s="307">
        <f t="shared" si="82"/>
        <v>0</v>
      </c>
      <c r="AK43" s="255" t="str">
        <f t="shared" si="74"/>
        <v>Š20b</v>
      </c>
      <c r="AL43" s="28"/>
      <c r="AM43" s="25"/>
      <c r="AN43" s="56"/>
      <c r="AO43" s="251" t="s">
        <v>249</v>
      </c>
      <c r="AP43" s="194">
        <f t="shared" si="111"/>
        <v>0</v>
      </c>
      <c r="AQ43" s="208"/>
      <c r="AR43" s="203"/>
      <c r="AS43" s="189"/>
      <c r="AT43" s="198">
        <f t="shared" si="9"/>
        <v>1.5</v>
      </c>
      <c r="AU43" s="199"/>
      <c r="AV43" s="222"/>
      <c r="AW43" s="118"/>
      <c r="AX43" s="103">
        <f t="shared" si="12"/>
        <v>0.7</v>
      </c>
      <c r="AY43" s="192"/>
      <c r="AZ43" s="192"/>
      <c r="BA43" s="192"/>
      <c r="BB43" s="113"/>
      <c r="BC43" s="113">
        <f>IF(AA43="nástupiště",IF((P43+R43)&gt;2.5,2*((N43+2.4)+(O43+2.4)),0),0)</f>
        <v>0</v>
      </c>
      <c r="BD43" s="270"/>
      <c r="BE43" s="228"/>
      <c r="BF43" s="268"/>
      <c r="BG43" s="268"/>
      <c r="BH43" s="118"/>
      <c r="BI43" s="72"/>
      <c r="BJ43" s="256" t="str">
        <f t="shared" si="78"/>
        <v>Š20b</v>
      </c>
      <c r="BK43" s="230"/>
      <c r="BL43" s="3">
        <f t="shared" si="86"/>
        <v>0</v>
      </c>
      <c r="BM43" s="3">
        <f t="shared" si="87"/>
        <v>0</v>
      </c>
      <c r="BN43" s="10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>
        <f t="shared" si="89"/>
        <v>0</v>
      </c>
      <c r="CI43" s="3"/>
      <c r="CJ43" s="3"/>
      <c r="CK43" s="3"/>
      <c r="CL43" s="3"/>
      <c r="CM43" s="3"/>
      <c r="CN43" s="10"/>
      <c r="CO43" s="3"/>
      <c r="CP43" s="3"/>
      <c r="CQ43" s="3">
        <f t="shared" si="93"/>
        <v>0</v>
      </c>
      <c r="CR43" s="3">
        <f t="shared" si="41"/>
        <v>0</v>
      </c>
      <c r="CS43" s="3"/>
      <c r="CT43" s="3"/>
      <c r="CU43" s="3"/>
      <c r="CV43" s="3"/>
      <c r="CW43" s="3"/>
      <c r="CX43" s="3"/>
      <c r="DD43" t="e">
        <f t="shared" si="97"/>
        <v>#VALUE!</v>
      </c>
      <c r="DE43" t="e">
        <f t="shared" si="98"/>
        <v>#VALUE!</v>
      </c>
      <c r="DP43">
        <f t="shared" si="99"/>
        <v>0</v>
      </c>
      <c r="DQ43">
        <f t="shared" si="100"/>
        <v>0</v>
      </c>
      <c r="DR43">
        <f t="shared" si="101"/>
        <v>0</v>
      </c>
      <c r="DU43" t="e">
        <f t="shared" si="102"/>
        <v>#VALUE!</v>
      </c>
    </row>
    <row r="44" spans="1:125" ht="17.25" x14ac:dyDescent="0.3">
      <c r="A44" s="72">
        <f t="shared" si="107"/>
        <v>5.4600000000000009</v>
      </c>
      <c r="B44" s="113"/>
      <c r="C44" s="28"/>
      <c r="D44" s="118">
        <v>8</v>
      </c>
      <c r="E44" s="72"/>
      <c r="F44" s="113"/>
      <c r="G44" s="113"/>
      <c r="H44" s="113"/>
      <c r="I44" s="314"/>
      <c r="J44" s="142" t="s">
        <v>207</v>
      </c>
      <c r="K44" s="213">
        <v>1</v>
      </c>
      <c r="L44" s="72"/>
      <c r="M44" s="27">
        <f t="shared" si="103"/>
        <v>0</v>
      </c>
      <c r="N44" s="118">
        <v>2.6</v>
      </c>
      <c r="O44" s="72">
        <v>2.1</v>
      </c>
      <c r="P44" s="72">
        <v>3.5</v>
      </c>
      <c r="Q44" s="72">
        <v>0.2</v>
      </c>
      <c r="R44" s="72">
        <v>0.35</v>
      </c>
      <c r="S44" s="222">
        <f t="shared" si="70"/>
        <v>19.110000000000003</v>
      </c>
      <c r="T44" s="290">
        <f t="shared" si="79"/>
        <v>6.58</v>
      </c>
      <c r="U44" s="290">
        <f t="shared" si="80"/>
        <v>6.9020000000000001</v>
      </c>
      <c r="V44" s="290">
        <f t="shared" si="81"/>
        <v>1760.01</v>
      </c>
      <c r="W44" s="48"/>
      <c r="X44" s="250" t="s">
        <v>158</v>
      </c>
      <c r="Y44" s="14" t="str">
        <f t="shared" si="71"/>
        <v>ŽB. šachta</v>
      </c>
      <c r="Z44" s="16">
        <v>1</v>
      </c>
      <c r="AA44" s="16" t="s">
        <v>75</v>
      </c>
      <c r="AB44" s="181" t="s">
        <v>16</v>
      </c>
      <c r="AC44" s="260" t="str">
        <f t="shared" si="5"/>
        <v>Š21</v>
      </c>
      <c r="AD44" s="263">
        <f t="shared" si="72"/>
        <v>1</v>
      </c>
      <c r="AE44" s="37" t="s">
        <v>184</v>
      </c>
      <c r="AF44" s="48" t="s">
        <v>184</v>
      </c>
      <c r="AG44" s="48">
        <f t="shared" si="108"/>
        <v>37.820000000000007</v>
      </c>
      <c r="AH44" s="48">
        <f t="shared" si="109"/>
        <v>37.820000000000007</v>
      </c>
      <c r="AI44" s="24" t="s">
        <v>184</v>
      </c>
      <c r="AJ44" s="307">
        <f>IF(AI44="ano",(N44*O44+O44*P44+N44+P44)*4,0)</f>
        <v>75.640000000000015</v>
      </c>
      <c r="AK44" s="255" t="str">
        <f t="shared" si="74"/>
        <v>Š21</v>
      </c>
      <c r="AL44" s="28" t="s">
        <v>22</v>
      </c>
      <c r="AM44" s="25">
        <f>IF(AL44="ano",2*((N44*P44+O44*P44)*2+N44*O44),0)</f>
        <v>76.72</v>
      </c>
      <c r="AN44" s="56">
        <f t="shared" si="110"/>
        <v>12.54</v>
      </c>
      <c r="AO44" s="251" t="s">
        <v>22</v>
      </c>
      <c r="AP44" s="194">
        <f t="shared" si="111"/>
        <v>4.0740000000000016</v>
      </c>
      <c r="AQ44" s="208"/>
      <c r="AR44" s="203">
        <f>IF(AQ44="ano",K44*(N44*O44+2*N44*P44+2*O44*P44),0)</f>
        <v>0</v>
      </c>
      <c r="AS44" s="189"/>
      <c r="AT44" s="198">
        <f t="shared" si="9"/>
        <v>0</v>
      </c>
      <c r="AU44" s="199">
        <f>K44*AY44*1.2</f>
        <v>15.047999999999998</v>
      </c>
      <c r="AV44" s="222">
        <f>(K44+M44)*IF(K44=1,AY44*0.15,IF(K44=0,AY44*0.1,0))</f>
        <v>1.8809999999999998</v>
      </c>
      <c r="AW44" s="118"/>
      <c r="AX44" s="103">
        <f t="shared" si="12"/>
        <v>1.2</v>
      </c>
      <c r="AY44" s="192">
        <f>(N44+AX44)*(O44+AX44)</f>
        <v>12.54</v>
      </c>
      <c r="AZ44" s="192">
        <v>0.75</v>
      </c>
      <c r="BA44" s="192">
        <f>AZ44*AY44*(P44+R44+0.3)</f>
        <v>39.030749999999998</v>
      </c>
      <c r="BB44" s="113">
        <f>CEILING(6*IF(K44=0,0,IF(AA44="nástupiště",0,2*N44+2.4+2*O44))*(P44+R44),1)</f>
        <v>0</v>
      </c>
      <c r="BC44" s="113">
        <f>IF(AA44="nástupiště",IF((P44+R44)&gt;2.5,2*((N44+2.4)+(O44+2.4)),0),0)</f>
        <v>19</v>
      </c>
      <c r="BD44" s="270">
        <f>IF((BB44+BC44)&gt;0.01,0,IF(AA42="nástupiště",0.25*((N44+2*AX44)+(O44+2*AX44)),2*((N44+2*AX44)+(O44+2*AX44))))</f>
        <v>0</v>
      </c>
      <c r="BE44" s="228">
        <f>IF(AA44="terén",BA44-(AV44+N44*O44*P44),IF(AA44="nástupiště",AY44*P44-(AV44+N44*O44*P44),0))</f>
        <v>22.898999999999997</v>
      </c>
      <c r="BF44" s="268">
        <v>2</v>
      </c>
      <c r="BG44" s="268">
        <f>BF44*IF(K44=0,0,N44-0.8)</f>
        <v>3.6</v>
      </c>
      <c r="BH44" s="118">
        <v>6</v>
      </c>
      <c r="BI44" s="72">
        <f t="shared" ref="BI44" si="117">BF44*BH44*15</f>
        <v>180</v>
      </c>
      <c r="BJ44" s="256" t="str">
        <f t="shared" si="78"/>
        <v>Š21</v>
      </c>
      <c r="BK44" s="230">
        <f t="shared" si="83"/>
        <v>10.8</v>
      </c>
      <c r="BL44" s="3">
        <f t="shared" si="86"/>
        <v>1</v>
      </c>
      <c r="BM44" s="3">
        <f t="shared" si="87"/>
        <v>1</v>
      </c>
      <c r="BN44" s="10">
        <f>K44-(BU44+BV44+BW44+BX44+BY44)</f>
        <v>0</v>
      </c>
      <c r="BO44" s="3">
        <f>K44*IF(S44&lt;5,1,0)</f>
        <v>0</v>
      </c>
      <c r="BP44" s="3">
        <f>K44*IF(S44&lt;10.001,IF(S44&gt;5,1,0),0)</f>
        <v>0</v>
      </c>
      <c r="BQ44" s="3">
        <f>K44*IF(S44&lt;15.001,IF(S44&gt;10,1,0),0)</f>
        <v>0</v>
      </c>
      <c r="BR44" s="3">
        <f>K44*IF(S44&lt;20.001,IF(S44&gt;15,1,0),0)</f>
        <v>1</v>
      </c>
      <c r="BS44" s="3">
        <f>K44*IF(S44&gt;20,1,0)</f>
        <v>0</v>
      </c>
      <c r="BT44" s="3"/>
      <c r="BU44" s="3">
        <f>K44*IF(A44&lt;4.501,IF(A44&gt;2.5,1,0),0)</f>
        <v>0</v>
      </c>
      <c r="BV44" s="3">
        <f>K44*IF(A44&lt;5.501,IF(A44&gt;4.5001,1,0),0)</f>
        <v>1</v>
      </c>
      <c r="BW44" s="3">
        <f>K44*IF(A44&lt;6.501,IF(A44&gt;5.5001,1,0),0)</f>
        <v>0</v>
      </c>
      <c r="BX44" s="3">
        <f>K44*IF(A44&lt;7.501,IF(A44&gt;6.5001,1,0),0)</f>
        <v>0</v>
      </c>
      <c r="BY44" s="3">
        <f>K44*IF(A44&gt;7.501,1,0)</f>
        <v>0</v>
      </c>
      <c r="BZ44" s="3">
        <f>M44*IF(A44=1.352,1,0)</f>
        <v>0</v>
      </c>
      <c r="CA44" s="3">
        <f>M44*P44</f>
        <v>0</v>
      </c>
      <c r="CB44" s="3">
        <f>M44*IF(A44=1.859,1,0)</f>
        <v>0</v>
      </c>
      <c r="CC44" s="3">
        <f>M44*IF(A44=1.54,1,0)</f>
        <v>0</v>
      </c>
      <c r="CD44" s="3">
        <f>M44*IF(A44=1.12,1,0)</f>
        <v>0</v>
      </c>
      <c r="CE44" s="3">
        <f>M44*IF(A44=(0.55*0.715),1,0)</f>
        <v>0</v>
      </c>
      <c r="CF44" s="3">
        <f>M44*IF(A44=(1.02*0.715),1,0)</f>
        <v>0</v>
      </c>
      <c r="CG44" s="3">
        <f t="shared" si="88"/>
        <v>1</v>
      </c>
      <c r="CH44" s="3">
        <f t="shared" si="89"/>
        <v>1</v>
      </c>
      <c r="CI44" s="3"/>
      <c r="CJ44" s="3">
        <f>(N44+1.6)*(O44+1.6)*(K44+M44)</f>
        <v>15.540000000000001</v>
      </c>
      <c r="CK44" s="3">
        <f>(N44+1.6+2)*(O44+1.6+2)</f>
        <v>35.340000000000003</v>
      </c>
      <c r="CL44" s="3">
        <f t="shared" si="90"/>
        <v>549.18360000000007</v>
      </c>
      <c r="CM44" s="3">
        <f t="shared" si="91"/>
        <v>23.434666628736156</v>
      </c>
      <c r="CN44" s="10">
        <f>(P44+R44)</f>
        <v>3.85</v>
      </c>
      <c r="CO44" s="3">
        <f>(K44+M44)*(CN44/3)*(CJ44+CK44+CM44)</f>
        <v>95.370488840211422</v>
      </c>
      <c r="CP44" s="3">
        <f t="shared" si="92"/>
        <v>47.685244420105711</v>
      </c>
      <c r="CQ44" s="3">
        <f t="shared" si="93"/>
        <v>0.5</v>
      </c>
      <c r="CR44" s="3">
        <f t="shared" si="41"/>
        <v>0.5</v>
      </c>
      <c r="CS44" s="3"/>
      <c r="CT44" s="3">
        <f>(CP44-((N44+0.2)*(O44+0.2)*(P44+0.1)+K44*(1.3*1*R44)))*(K44+M44)</f>
        <v>24.046244420105708</v>
      </c>
      <c r="CU44" s="3">
        <f t="shared" si="94"/>
        <v>24.046244420105708</v>
      </c>
      <c r="CV44" s="3"/>
      <c r="CW44" s="3"/>
      <c r="CX44" s="3"/>
      <c r="DD44" t="e">
        <f t="shared" si="97"/>
        <v>#VALUE!</v>
      </c>
      <c r="DE44" t="e">
        <f t="shared" si="98"/>
        <v>#VALUE!</v>
      </c>
      <c r="DF44" t="e">
        <f>K44*((2*N44*(P44-AC44))+(2*O44*(P44-AC44))+(N44+0.25)*(O44+0.25))</f>
        <v>#VALUE!</v>
      </c>
      <c r="DG44">
        <f>((N44*O44*(P44-R44)-((N44-Q44*2)*(O44-Q44*2)*(P44-Q44*2))+((R44*1.1*1.4)-(R44*0.6*0.9)))*K44)</f>
        <v>5.9549999999999983</v>
      </c>
      <c r="DH44">
        <f>(2*N44*O44+2*N44*P44+2*O44*P44)+(2*R44*1.1+2*R44*1.4)</f>
        <v>45.57</v>
      </c>
      <c r="DI44">
        <f>2*(2*N44*O44+2*N44*P44+2*O44*P44)*7850*2*(0.003*0.003*3.14)*(1000/150)</f>
        <v>259.22860320000007</v>
      </c>
      <c r="DJ44">
        <f>2*(2*N44*O44+2*N44*P44+2*O44*P44)*7850*2*(0.003*0.003*3.14)*(1000/100)</f>
        <v>388.84290480000004</v>
      </c>
      <c r="DK44">
        <f>2*(2*N44*O44+2*N44*P44+2*O44*P44)*7850*2*(0.004*0.004*3.14)*(1000/100)</f>
        <v>691.2762752000001</v>
      </c>
      <c r="DL44">
        <f>(N44+1.5)*(P44+R44)+(O44+1.8)*(P44+R44)</f>
        <v>30.8</v>
      </c>
      <c r="DN44">
        <f>2*(2*N44*O44+2*N44*P44+2*O44*P44)*7850*2*(0.006*0.006*3.14)*(1000/150)</f>
        <v>1036.9144128000003</v>
      </c>
      <c r="DP44">
        <f t="shared" si="99"/>
        <v>0</v>
      </c>
      <c r="DQ44">
        <f t="shared" si="100"/>
        <v>0</v>
      </c>
      <c r="DR44">
        <f t="shared" si="101"/>
        <v>0</v>
      </c>
      <c r="DU44" t="e">
        <f t="shared" si="102"/>
        <v>#VALUE!</v>
      </c>
    </row>
    <row r="45" spans="1:125" ht="17.25" x14ac:dyDescent="0.3">
      <c r="A45" s="72">
        <f t="shared" si="107"/>
        <v>1.4015359999999999</v>
      </c>
      <c r="B45" s="113"/>
      <c r="C45" s="28">
        <v>9</v>
      </c>
      <c r="D45" s="118"/>
      <c r="E45" s="72"/>
      <c r="F45" s="113"/>
      <c r="G45" s="113"/>
      <c r="H45" s="113"/>
      <c r="I45" s="314"/>
      <c r="J45" s="142" t="s">
        <v>208</v>
      </c>
      <c r="K45" s="320">
        <v>0</v>
      </c>
      <c r="L45" s="72"/>
      <c r="M45" s="323">
        <f t="shared" si="103"/>
        <v>1</v>
      </c>
      <c r="N45" s="118">
        <v>1.4359999999999999</v>
      </c>
      <c r="O45" s="72">
        <v>0.97599999999999998</v>
      </c>
      <c r="P45" s="72">
        <v>1.35</v>
      </c>
      <c r="Q45" s="72"/>
      <c r="R45" s="72"/>
      <c r="S45" s="222">
        <f>(K44+M44)*N44*O44*P44</f>
        <v>19.110000000000003</v>
      </c>
      <c r="T45" s="290">
        <f t="shared" ref="T45:T46" si="118">(N45*P45*Q45)*2+(O45*P45*Q45)*2</f>
        <v>0</v>
      </c>
      <c r="U45" s="290">
        <f t="shared" ref="U45:U46" si="119">T45+(Q45*R45*1.3)*2+(Q45*R45*1)*2</f>
        <v>0</v>
      </c>
      <c r="V45" s="290">
        <f t="shared" ref="V45:V46" si="120">U45*255</f>
        <v>0</v>
      </c>
      <c r="W45" s="48"/>
      <c r="X45" s="250" t="s">
        <v>158</v>
      </c>
      <c r="Y45" s="14" t="str">
        <f t="shared" si="71"/>
        <v>pro pl. šachtu</v>
      </c>
      <c r="Z45" s="16">
        <v>1</v>
      </c>
      <c r="AA45" s="16" t="s">
        <v>75</v>
      </c>
      <c r="AB45" s="181" t="s">
        <v>16</v>
      </c>
      <c r="AC45" s="260" t="str">
        <f t="shared" si="5"/>
        <v>Š21a</v>
      </c>
      <c r="AD45" s="263">
        <f t="shared" si="72"/>
        <v>0</v>
      </c>
      <c r="AE45" s="37" t="s">
        <v>23</v>
      </c>
      <c r="AF45" s="48" t="s">
        <v>249</v>
      </c>
      <c r="AG45" s="48">
        <f t="shared" si="108"/>
        <v>0</v>
      </c>
      <c r="AH45" s="48">
        <f t="shared" si="109"/>
        <v>0</v>
      </c>
      <c r="AI45" s="24" t="s">
        <v>23</v>
      </c>
      <c r="AJ45" s="307">
        <f>IF(AI45="ano",(N45*O45+O45*P45+N45+P45)*4,0)</f>
        <v>0</v>
      </c>
      <c r="AK45" s="255" t="str">
        <f t="shared" si="74"/>
        <v>Š21a</v>
      </c>
      <c r="AL45" s="28" t="s">
        <v>22</v>
      </c>
      <c r="AM45" s="25">
        <f>IF(AL45="ano",2*((N45*P45+O45*P45)*2+N45*O45),0)</f>
        <v>15.827872000000001</v>
      </c>
      <c r="AN45" s="56">
        <f t="shared" si="110"/>
        <v>3.579936</v>
      </c>
      <c r="AO45" s="251" t="s">
        <v>249</v>
      </c>
      <c r="AP45" s="194">
        <f t="shared" si="111"/>
        <v>0</v>
      </c>
      <c r="AQ45" s="208"/>
      <c r="AR45" s="203">
        <f>IF(AQ45="ano",K45*(N45*O45+2*N45*P45+2*O45*P45),0)</f>
        <v>0</v>
      </c>
      <c r="AS45" s="189"/>
      <c r="AT45" s="198">
        <f t="shared" si="9"/>
        <v>1.5</v>
      </c>
      <c r="AU45" s="199">
        <f>K45*AY45*1.2</f>
        <v>0</v>
      </c>
      <c r="AV45" s="222">
        <f>(K45+M45)*IF(K45=1,AY45*0.15,IF(K45=0,AY45*0.1,0))</f>
        <v>0.35799360000000002</v>
      </c>
      <c r="AW45" s="118"/>
      <c r="AX45" s="103">
        <f t="shared" si="12"/>
        <v>0.7</v>
      </c>
      <c r="AY45" s="192">
        <f>(N45+AX45)*(O45+AX45)</f>
        <v>3.579936</v>
      </c>
      <c r="AZ45" s="192">
        <v>0</v>
      </c>
      <c r="BA45" s="192">
        <f>AZ45*AY45*(P45+R45+0.3)</f>
        <v>0</v>
      </c>
      <c r="BB45" s="113">
        <f>CEILING(6*IF(K45=0,0,IF(AA45="nástupiště",0,2*N45+2.4+2*O45))*(P45+R45),1)</f>
        <v>0</v>
      </c>
      <c r="BC45" s="113">
        <f>IF(AA45="nástupiště",IF((P45+R45)&gt;2.5,2*((N45+2.4)+(O45+2.4)),0),0)</f>
        <v>0</v>
      </c>
      <c r="BD45" s="270">
        <f>IF((BB45+BC45)&gt;0.01,0,IF(AA44="nástupiště",0.25*((N45+2*AX45)+(O45+2*AX45)),2*((N45+2*AX45)+(O45+2*AX45))))</f>
        <v>1.3029999999999999</v>
      </c>
      <c r="BE45" s="228">
        <f>IF(AA45="terén",BA45-(AV45+N45*O45*P45),IF(AA45="nástupiště",AY45*P45-(AV45+N45*O45*P45),0))</f>
        <v>2.5828464000000002</v>
      </c>
      <c r="BF45" s="268">
        <f>CEILING(IF(K45=0,0,N45-0.8+O45-0.8),1)</f>
        <v>0</v>
      </c>
      <c r="BG45" s="268">
        <f>CEILING(IF(L45=0,0,O45-0.8+P45-0.8),1)</f>
        <v>0</v>
      </c>
      <c r="BH45" s="118"/>
      <c r="BI45" s="72">
        <f t="shared" si="68"/>
        <v>0</v>
      </c>
      <c r="BJ45" s="256" t="str">
        <f t="shared" si="78"/>
        <v>Š21a</v>
      </c>
      <c r="BK45" s="230">
        <f t="shared" si="83"/>
        <v>0</v>
      </c>
      <c r="BL45" s="3">
        <f t="shared" si="86"/>
        <v>0</v>
      </c>
      <c r="BM45" s="3">
        <f t="shared" si="87"/>
        <v>0</v>
      </c>
      <c r="BN45" s="10">
        <f>K45-(BU45+BV45+BW45+BX45+BY45)</f>
        <v>0</v>
      </c>
      <c r="BO45" s="3">
        <f>K45*IF(S46&lt;5,1,0)</f>
        <v>0</v>
      </c>
      <c r="BP45" s="3">
        <f>K45*IF(S46&lt;10.001,IF(S46&gt;5,1,0),0)</f>
        <v>0</v>
      </c>
      <c r="BQ45" s="3">
        <f>K45*IF(S46&lt;15.001,IF(S46&gt;10,1,0),0)</f>
        <v>0</v>
      </c>
      <c r="BR45" s="3">
        <f>K45*IF(S46&lt;20.001,IF(S46&gt;15,1,0),0)</f>
        <v>0</v>
      </c>
      <c r="BS45" s="3">
        <f>K45*IF(S46&gt;20,1,0)</f>
        <v>0</v>
      </c>
      <c r="BT45" s="3"/>
      <c r="BU45" s="3">
        <f>K45*IF(A45&lt;4.501,IF(A45&gt;2.5,1,0),0)</f>
        <v>0</v>
      </c>
      <c r="BV45" s="3">
        <f>K45*IF(A45&lt;5.501,IF(A45&gt;4.5001,1,0),0)</f>
        <v>0</v>
      </c>
      <c r="BW45" s="3">
        <f>K45*IF(A45&lt;6.501,IF(A45&gt;5.5001,1,0),0)</f>
        <v>0</v>
      </c>
      <c r="BX45" s="3">
        <f>K45*IF(A45&lt;7.501,IF(A45&gt;6.5001,1,0),0)</f>
        <v>0</v>
      </c>
      <c r="BY45" s="3">
        <f>K45*IF(A45&gt;7.501,1,0)</f>
        <v>0</v>
      </c>
      <c r="BZ45" s="3">
        <f>M45*IF(A45=1.352,1,0)</f>
        <v>0</v>
      </c>
      <c r="CA45" s="3">
        <f>M45*P45</f>
        <v>1.35</v>
      </c>
      <c r="CB45" s="3">
        <f>M45*IF(A45=1.859,1,0)</f>
        <v>0</v>
      </c>
      <c r="CC45" s="3">
        <f>M45*IF(A45=1.54,1,0)</f>
        <v>0</v>
      </c>
      <c r="CD45" s="3">
        <f>M45*IF(A45=1.12,1,0)</f>
        <v>0</v>
      </c>
      <c r="CE45" s="3">
        <f>M45*IF(A45=(0.55*0.715),1,0)</f>
        <v>0</v>
      </c>
      <c r="CF45" s="3">
        <f>M45*IF(A45=(1.02*0.715),1,0)</f>
        <v>0</v>
      </c>
      <c r="CG45" s="3">
        <f t="shared" si="88"/>
        <v>1</v>
      </c>
      <c r="CH45" s="3">
        <f t="shared" si="89"/>
        <v>0</v>
      </c>
      <c r="CI45" s="3"/>
      <c r="CJ45" s="3">
        <f>(N45+1.6)*(O45+1.6)*(K45+M45)</f>
        <v>7.8207360000000001</v>
      </c>
      <c r="CK45" s="3">
        <f>(N45+1.6+2)*(O45+1.6+2)</f>
        <v>23.044736</v>
      </c>
      <c r="CL45" s="3">
        <f t="shared" si="90"/>
        <v>180.22679644569601</v>
      </c>
      <c r="CM45" s="3">
        <f t="shared" si="91"/>
        <v>13.424857408765876</v>
      </c>
      <c r="CN45" s="10">
        <f>(P45+R45)</f>
        <v>1.35</v>
      </c>
      <c r="CO45" s="3">
        <f>(K45+M45)*(CN45/3)*(CJ45+CK45+CM45)</f>
        <v>19.930648233944645</v>
      </c>
      <c r="CP45" s="3">
        <f t="shared" si="92"/>
        <v>0</v>
      </c>
      <c r="CQ45" s="3">
        <f t="shared" si="93"/>
        <v>0</v>
      </c>
      <c r="CR45" s="3">
        <f t="shared" si="41"/>
        <v>0</v>
      </c>
      <c r="CS45" s="3"/>
      <c r="CT45" s="3">
        <f>(CP45-((N45+0.2)*(O45+0.2)*(P45+0.1)+K45*(1.3*1*R45)))*(K45+M45)</f>
        <v>-2.7897072000000001</v>
      </c>
      <c r="CU45" s="3">
        <f t="shared" si="94"/>
        <v>0</v>
      </c>
      <c r="CV45" s="3"/>
      <c r="CW45" s="3"/>
      <c r="CX45" s="3"/>
      <c r="DD45" t="e">
        <f t="shared" si="97"/>
        <v>#VALUE!</v>
      </c>
      <c r="DE45" t="e">
        <f t="shared" si="98"/>
        <v>#VALUE!</v>
      </c>
      <c r="DF45" t="e">
        <f>K45*((2*N45*(P45-AC45))+(2*O45*(P45-AC45))+(N45+0.25)*(O45+0.25))</f>
        <v>#VALUE!</v>
      </c>
      <c r="DG45">
        <f>((N45*O45*(P45-R45)-((N45-Q45*2)*(O45-Q45*2)*(P45-Q45*2))+((R45*1.1*1.4)-(R45*0.6*0.9)))*K45)</f>
        <v>0</v>
      </c>
      <c r="DH45">
        <f>(2*N45*O45+2*N45*P45+2*O45*P45)+(2*R45*1.1+2*R45*1.4)</f>
        <v>9.3154719999999998</v>
      </c>
      <c r="DI45">
        <f>2*(2*N45*O45+2*N45*P45+2*O45*P45)*7850*2*(0.003*0.003*3.14)*(1000/150)</f>
        <v>55.108096638720006</v>
      </c>
      <c r="DJ45">
        <f>2*(2*N45*O45+2*N45*P45+2*O45*P45)*7850*2*(0.003*0.003*3.14)*(1000/100)</f>
        <v>82.662144958080006</v>
      </c>
      <c r="DK45">
        <f>2*(2*N45*O45+2*N45*P45+2*O45*P45)*7850*2*(0.004*0.004*3.14)*(1000/100)</f>
        <v>146.95492436992001</v>
      </c>
      <c r="DL45">
        <f>(N45+1.5)*(P45+R45)+(O45+1.8)*(P45+R45)</f>
        <v>7.7111999999999998</v>
      </c>
      <c r="DN45">
        <f>2*(2*N45*O45+2*N45*P45+2*O45*P45)*7850*2*(0.006*0.006*3.14)*(1000/150)</f>
        <v>220.43238655488003</v>
      </c>
      <c r="DP45">
        <f t="shared" si="99"/>
        <v>0</v>
      </c>
      <c r="DQ45">
        <f t="shared" si="100"/>
        <v>0</v>
      </c>
      <c r="DR45">
        <f t="shared" si="101"/>
        <v>0</v>
      </c>
      <c r="DU45" t="e">
        <f t="shared" si="102"/>
        <v>#VALUE!</v>
      </c>
    </row>
    <row r="46" spans="1:125" ht="17.25" x14ac:dyDescent="0.3">
      <c r="A46" s="72"/>
      <c r="B46" s="113"/>
      <c r="C46" s="28">
        <v>2</v>
      </c>
      <c r="D46" s="118"/>
      <c r="E46" s="72"/>
      <c r="F46" s="113"/>
      <c r="G46" s="113"/>
      <c r="H46" s="113"/>
      <c r="I46" s="314"/>
      <c r="J46" s="142" t="s">
        <v>295</v>
      </c>
      <c r="K46" s="320">
        <v>0</v>
      </c>
      <c r="L46" s="72"/>
      <c r="M46" s="323">
        <f t="shared" si="103"/>
        <v>1</v>
      </c>
      <c r="N46" s="118">
        <v>1.4359999999999999</v>
      </c>
      <c r="O46" s="72">
        <v>0.97599999999999998</v>
      </c>
      <c r="P46" s="72">
        <v>1.35</v>
      </c>
      <c r="Q46" s="72"/>
      <c r="R46" s="72"/>
      <c r="S46" s="222">
        <f>(K45+M45)*N45*O45*P45</f>
        <v>1.8920736</v>
      </c>
      <c r="T46" s="290">
        <f t="shared" si="118"/>
        <v>0</v>
      </c>
      <c r="U46" s="290">
        <f t="shared" si="119"/>
        <v>0</v>
      </c>
      <c r="V46" s="290">
        <f t="shared" si="120"/>
        <v>0</v>
      </c>
      <c r="W46" s="48"/>
      <c r="X46" s="250" t="s">
        <v>158</v>
      </c>
      <c r="Y46" s="14" t="str">
        <f t="shared" si="71"/>
        <v>pro pl. šachtu</v>
      </c>
      <c r="Z46" s="16">
        <v>1</v>
      </c>
      <c r="AA46" s="16" t="s">
        <v>75</v>
      </c>
      <c r="AB46" s="181" t="s">
        <v>16</v>
      </c>
      <c r="AC46" s="260" t="str">
        <f t="shared" si="5"/>
        <v>Š21b</v>
      </c>
      <c r="AD46" s="263">
        <f t="shared" si="72"/>
        <v>0</v>
      </c>
      <c r="AE46" s="37" t="s">
        <v>23</v>
      </c>
      <c r="AF46" s="48" t="s">
        <v>249</v>
      </c>
      <c r="AG46" s="48">
        <f t="shared" si="108"/>
        <v>0</v>
      </c>
      <c r="AH46" s="48">
        <f t="shared" si="109"/>
        <v>0</v>
      </c>
      <c r="AI46" s="24" t="s">
        <v>249</v>
      </c>
      <c r="AJ46" s="307"/>
      <c r="AK46" s="255" t="str">
        <f t="shared" si="74"/>
        <v>Š21b</v>
      </c>
      <c r="AL46" s="28"/>
      <c r="AM46" s="25"/>
      <c r="AN46" s="56"/>
      <c r="AO46" s="251" t="s">
        <v>249</v>
      </c>
      <c r="AP46" s="194">
        <f t="shared" si="111"/>
        <v>0</v>
      </c>
      <c r="AQ46" s="208"/>
      <c r="AR46" s="203"/>
      <c r="AS46" s="189"/>
      <c r="AT46" s="198">
        <f t="shared" si="9"/>
        <v>1.5</v>
      </c>
      <c r="AU46" s="199"/>
      <c r="AV46" s="222"/>
      <c r="AW46" s="118"/>
      <c r="AX46" s="103">
        <f t="shared" si="12"/>
        <v>0.7</v>
      </c>
      <c r="AY46" s="192"/>
      <c r="AZ46" s="192"/>
      <c r="BA46" s="192"/>
      <c r="BB46" s="113"/>
      <c r="BC46" s="113"/>
      <c r="BD46" s="270"/>
      <c r="BE46" s="228"/>
      <c r="BF46" s="268"/>
      <c r="BG46" s="268"/>
      <c r="BH46" s="118"/>
      <c r="BI46" s="72"/>
      <c r="BJ46" s="256" t="str">
        <f t="shared" si="78"/>
        <v>Š21b</v>
      </c>
      <c r="BK46" s="230"/>
      <c r="BL46" s="3">
        <f t="shared" si="86"/>
        <v>0</v>
      </c>
      <c r="BM46" s="3">
        <f t="shared" si="87"/>
        <v>0</v>
      </c>
      <c r="BN46" s="10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>
        <f t="shared" si="89"/>
        <v>0</v>
      </c>
      <c r="CI46" s="3"/>
      <c r="CJ46" s="3"/>
      <c r="CK46" s="3"/>
      <c r="CL46" s="3"/>
      <c r="CM46" s="3"/>
      <c r="CN46" s="10"/>
      <c r="CO46" s="3"/>
      <c r="CP46" s="3"/>
      <c r="CQ46" s="3"/>
      <c r="CR46" s="3">
        <f t="shared" si="41"/>
        <v>0</v>
      </c>
      <c r="CS46" s="3"/>
      <c r="CT46" s="3"/>
      <c r="CU46" s="3"/>
      <c r="CV46" s="3"/>
      <c r="CW46" s="3"/>
      <c r="CX46" s="3"/>
      <c r="DD46" t="e">
        <f t="shared" si="97"/>
        <v>#VALUE!</v>
      </c>
      <c r="DE46" t="e">
        <f t="shared" si="98"/>
        <v>#VALUE!</v>
      </c>
      <c r="DP46">
        <f t="shared" si="99"/>
        <v>0</v>
      </c>
      <c r="DQ46">
        <f t="shared" si="100"/>
        <v>0</v>
      </c>
      <c r="DR46">
        <f t="shared" si="101"/>
        <v>0</v>
      </c>
      <c r="DU46" t="e">
        <f t="shared" si="102"/>
        <v>#VALUE!</v>
      </c>
    </row>
    <row r="47" spans="1:125" ht="17.25" x14ac:dyDescent="0.3">
      <c r="A47" s="72">
        <f t="shared" si="107"/>
        <v>5.88</v>
      </c>
      <c r="B47" s="113"/>
      <c r="C47" s="28"/>
      <c r="D47" s="118">
        <v>12</v>
      </c>
      <c r="E47" s="72"/>
      <c r="F47" s="113"/>
      <c r="G47" s="113"/>
      <c r="H47" s="113"/>
      <c r="I47" s="314"/>
      <c r="J47" s="142" t="s">
        <v>141</v>
      </c>
      <c r="K47" s="213">
        <v>1</v>
      </c>
      <c r="L47" s="72"/>
      <c r="M47" s="27">
        <f t="shared" si="103"/>
        <v>0</v>
      </c>
      <c r="N47" s="118">
        <v>2.8</v>
      </c>
      <c r="O47" s="72">
        <v>2.1</v>
      </c>
      <c r="P47" s="72">
        <v>3.5</v>
      </c>
      <c r="Q47" s="72">
        <v>0.2</v>
      </c>
      <c r="R47" s="72">
        <v>0.35</v>
      </c>
      <c r="S47" s="222">
        <f t="shared" ref="S47:S82" si="121">(K47+M47)*N47*O47*P47</f>
        <v>20.58</v>
      </c>
      <c r="T47" s="290">
        <f t="shared" si="79"/>
        <v>6.86</v>
      </c>
      <c r="U47" s="290">
        <f t="shared" si="80"/>
        <v>7.1820000000000004</v>
      </c>
      <c r="V47" s="290">
        <f t="shared" si="81"/>
        <v>1831.41</v>
      </c>
      <c r="W47" s="48"/>
      <c r="X47" s="250" t="s">
        <v>158</v>
      </c>
      <c r="Y47" s="14" t="str">
        <f t="shared" si="71"/>
        <v>ŽB. šachta</v>
      </c>
      <c r="Z47" s="16">
        <v>1</v>
      </c>
      <c r="AA47" s="16" t="s">
        <v>75</v>
      </c>
      <c r="AB47" s="181" t="s">
        <v>16</v>
      </c>
      <c r="AC47" s="260" t="str">
        <f t="shared" si="5"/>
        <v>Š22</v>
      </c>
      <c r="AD47" s="263">
        <f t="shared" si="72"/>
        <v>1</v>
      </c>
      <c r="AE47" s="37" t="s">
        <v>217</v>
      </c>
      <c r="AF47" s="48" t="s">
        <v>184</v>
      </c>
      <c r="AG47" s="48">
        <f t="shared" ref="AG47:AG82" si="122">IF(AE47="ano",(N47*O47+O47*P47+N47+P47)*2,0)</f>
        <v>39.06</v>
      </c>
      <c r="AH47" s="48">
        <f t="shared" ref="AH47:AH82" si="123">IF(AF47="ano",(N47*O47+O47*P47+N47+P47)*2,0)</f>
        <v>39.06</v>
      </c>
      <c r="AI47" s="24" t="s">
        <v>184</v>
      </c>
      <c r="AJ47" s="307">
        <f t="shared" ref="AJ47:AJ68" si="124">IF(AI47="ano",(N47*O47+O47*P47+N47+P47)*4,0)</f>
        <v>78.12</v>
      </c>
      <c r="AK47" s="255" t="str">
        <f t="shared" si="74"/>
        <v>Š22</v>
      </c>
      <c r="AL47" s="28" t="s">
        <v>22</v>
      </c>
      <c r="AM47" s="25">
        <f t="shared" ref="AM47:AM82" si="125">IF(AL47="ano",2*((N47*P47+O47*P47)*2+N47*O47),0)</f>
        <v>80.36</v>
      </c>
      <c r="AN47" s="56">
        <f t="shared" si="110"/>
        <v>13.2</v>
      </c>
      <c r="AO47" s="251" t="s">
        <v>22</v>
      </c>
      <c r="AP47" s="194">
        <f t="shared" ref="AP47:AP82" si="126">IF(AO47="ano",IF(M47=1,2,1)*(K47+M47)*((N47+0.2)*(O47+0.2)*(P47+0.1)-N47*O47*P47),0)</f>
        <v>4.2600000000000051</v>
      </c>
      <c r="AQ47" s="208"/>
      <c r="AR47" s="203">
        <f t="shared" ref="AR47:AR82" si="127">IF(AQ47="ano",K47*(N47*O47+2*N47*P47+2*O47*P47),0)</f>
        <v>0</v>
      </c>
      <c r="AS47" s="189"/>
      <c r="AT47" s="198">
        <f t="shared" si="9"/>
        <v>0</v>
      </c>
      <c r="AU47" s="199">
        <f t="shared" ref="AU47:AU82" si="128">K47*AY47*1.2</f>
        <v>15.839999999999998</v>
      </c>
      <c r="AV47" s="222">
        <f t="shared" ref="AV47:AV82" si="129">(K47+M47)*IF(K47=1,AY47*0.15,IF(K47=0,AY47*0.1,0))</f>
        <v>1.9799999999999998</v>
      </c>
      <c r="AW47" s="118"/>
      <c r="AX47" s="103">
        <f t="shared" si="12"/>
        <v>1.2</v>
      </c>
      <c r="AY47" s="192">
        <f t="shared" ref="AY47:AY82" si="130">(N47+AX47)*(O47+AX47)</f>
        <v>13.2</v>
      </c>
      <c r="AZ47" s="192">
        <v>0.75</v>
      </c>
      <c r="BA47" s="192">
        <f t="shared" ref="BA47:BA82" si="131">AZ47*AY47*(P47+R47+0.3)</f>
        <v>41.085000000000001</v>
      </c>
      <c r="BB47" s="113">
        <f t="shared" ref="BB47:BB82" si="132">CEILING(6*IF(K47=0,0,IF(AA47="nástupiště",0,2*N47+2.4+2*O47))*(P47+R47),1)</f>
        <v>0</v>
      </c>
      <c r="BC47" s="113">
        <f t="shared" ref="BC47:BC82" si="133">IF(AA47="nástupiště",IF((P47+R47)&gt;2.5,2*((N47+2.4)+(O47+2.4)),0),0)</f>
        <v>19.399999999999999</v>
      </c>
      <c r="BD47" s="270">
        <f>IF((BB47+BC47)&gt;0.01,0,IF(AA45="nástupiště",0.25*((N47+2*AX47)+(O47+2*AX47)),2*((N47+2*AX47)+(O47+2*AX47))))</f>
        <v>0</v>
      </c>
      <c r="BE47" s="228">
        <f t="shared" ref="BE47:BE82" si="134">IF(AA47="terén",BA47-(AV47+N47*O47*P47),IF(AA47="nástupiště",AY47*P47-(AV47+N47*O47*P47),0))</f>
        <v>23.639999999999997</v>
      </c>
      <c r="BF47" s="268">
        <v>2</v>
      </c>
      <c r="BG47" s="268">
        <f>BF47*IF(K47=0,0,N47-0.8)</f>
        <v>3.9999999999999996</v>
      </c>
      <c r="BH47" s="118">
        <v>6</v>
      </c>
      <c r="BI47" s="72">
        <f t="shared" ref="BI47:BI48" si="135">BF47*BH47*15</f>
        <v>180</v>
      </c>
      <c r="BJ47" s="256" t="str">
        <f t="shared" si="78"/>
        <v>Š22</v>
      </c>
      <c r="BK47" s="230">
        <f t="shared" si="83"/>
        <v>11.999999999999998</v>
      </c>
      <c r="BL47" s="3">
        <f t="shared" si="86"/>
        <v>1</v>
      </c>
      <c r="BM47" s="3">
        <f t="shared" si="87"/>
        <v>1</v>
      </c>
      <c r="BN47" s="10">
        <f t="shared" ref="BN47:BN79" si="136">K47-(BU47+BV47+BW47+BX47+BY47)</f>
        <v>0</v>
      </c>
      <c r="BO47" s="3">
        <f t="shared" ref="BO47:BO79" si="137">K47*IF(S47&lt;5,1,0)</f>
        <v>0</v>
      </c>
      <c r="BP47" s="3">
        <f t="shared" ref="BP47:BP79" si="138">K47*IF(S47&lt;10.001,IF(S47&gt;5,1,0),0)</f>
        <v>0</v>
      </c>
      <c r="BQ47" s="3">
        <f t="shared" ref="BQ47:BQ79" si="139">K47*IF(S47&lt;15.001,IF(S47&gt;10,1,0),0)</f>
        <v>0</v>
      </c>
      <c r="BR47" s="3">
        <f t="shared" ref="BR47:BR79" si="140">K47*IF(S47&lt;20.001,IF(S47&gt;15,1,0),0)</f>
        <v>0</v>
      </c>
      <c r="BS47" s="3">
        <f t="shared" ref="BS47:BS79" si="141">K47*IF(S47&gt;20,1,0)</f>
        <v>1</v>
      </c>
      <c r="BT47" s="3"/>
      <c r="BU47" s="3">
        <f t="shared" ref="BU47:BU78" si="142">K47*IF(A47&lt;4.501,IF(A47&gt;2.5,1,0),0)</f>
        <v>0</v>
      </c>
      <c r="BV47" s="3">
        <f t="shared" ref="BV47:BV78" si="143">K47*IF(A47&lt;5.501,IF(A47&gt;4.5001,1,0),0)</f>
        <v>0</v>
      </c>
      <c r="BW47" s="3">
        <f t="shared" ref="BW47:BW78" si="144">K47*IF(A47&lt;6.501,IF(A47&gt;5.5001,1,0),0)</f>
        <v>1</v>
      </c>
      <c r="BX47" s="3">
        <f t="shared" ref="BX47:BX78" si="145">K47*IF(A47&lt;7.501,IF(A47&gt;6.5001,1,0),0)</f>
        <v>0</v>
      </c>
      <c r="BY47" s="3">
        <f t="shared" ref="BY47:BY78" si="146">K47*IF(A47&gt;7.501,1,0)</f>
        <v>0</v>
      </c>
      <c r="BZ47" s="3">
        <f t="shared" ref="BZ47:BZ78" si="147">M47*IF(A47=1.352,1,0)</f>
        <v>0</v>
      </c>
      <c r="CA47" s="3">
        <f t="shared" ref="CA47:CA79" si="148">M47*P47</f>
        <v>0</v>
      </c>
      <c r="CB47" s="3">
        <f t="shared" ref="CB47:CB78" si="149">M47*IF(A47=1.859,1,0)</f>
        <v>0</v>
      </c>
      <c r="CC47" s="3">
        <f t="shared" ref="CC47:CC78" si="150">M47*IF(A47=1.54,1,0)</f>
        <v>0</v>
      </c>
      <c r="CD47" s="3">
        <f t="shared" ref="CD47:CD78" si="151">M47*IF(A47=1.12,1,0)</f>
        <v>0</v>
      </c>
      <c r="CE47" s="3">
        <f t="shared" ref="CE47:CE78" si="152">M47*IF(A47=(0.55*0.715),1,0)</f>
        <v>0</v>
      </c>
      <c r="CF47" s="3">
        <f t="shared" ref="CF47:CF78" si="153">M47*IF(A47=(1.02*0.715),1,0)</f>
        <v>0</v>
      </c>
      <c r="CG47" s="3">
        <f t="shared" si="88"/>
        <v>1</v>
      </c>
      <c r="CH47" s="3">
        <f t="shared" si="89"/>
        <v>1</v>
      </c>
      <c r="CI47" s="3"/>
      <c r="CJ47" s="3">
        <f t="shared" ref="CJ47:CJ79" si="154">(N47+1.6)*(O47+1.6)*(K47+M47)</f>
        <v>16.28</v>
      </c>
      <c r="CK47" s="3">
        <f t="shared" ref="CK47:CK79" si="155">(N47+1.6+2)*(O47+1.6+2)</f>
        <v>36.480000000000004</v>
      </c>
      <c r="CL47" s="3">
        <f t="shared" si="90"/>
        <v>593.89440000000013</v>
      </c>
      <c r="CM47" s="3">
        <f t="shared" si="91"/>
        <v>24.369948707373187</v>
      </c>
      <c r="CN47" s="10">
        <f t="shared" ref="CN47:CN79" si="156">(P47+R47)</f>
        <v>3.85</v>
      </c>
      <c r="CO47" s="3">
        <f t="shared" ref="CO47:CO79" si="157">(K47+M47)*(CN47/3)*(CJ47+CK47+CM47)</f>
        <v>98.983434174462261</v>
      </c>
      <c r="CP47" s="3">
        <f t="shared" si="92"/>
        <v>49.49171708723113</v>
      </c>
      <c r="CQ47" s="3">
        <f t="shared" si="93"/>
        <v>0.5</v>
      </c>
      <c r="CR47" s="3">
        <f t="shared" si="41"/>
        <v>0.5</v>
      </c>
      <c r="CS47" s="3"/>
      <c r="CT47" s="3">
        <f t="shared" ref="CT47:CT79" si="158">(CP47-((N47+0.2)*(O47+0.2)*(P47+0.1)+K47*(1.3*1*R47)))*(K47+M47)</f>
        <v>24.196717087231129</v>
      </c>
      <c r="CU47" s="3">
        <f t="shared" si="94"/>
        <v>24.196717087231129</v>
      </c>
      <c r="CV47" s="3"/>
      <c r="CW47" s="3"/>
      <c r="CX47" s="3"/>
      <c r="DD47" t="e">
        <f t="shared" ref="DD47:DD52" si="159">(N47+0.5+AE47/1.5)*(O47+0.9+AE47/1.5)*(P47+0.1-AE47)</f>
        <v>#VALUE!</v>
      </c>
      <c r="DE47" t="e">
        <f t="shared" ref="DE47:DE52" si="160">(N47+0.5+(0.35*AE47))*(O47+0.9+(0.35*AE47))*AE47</f>
        <v>#VALUE!</v>
      </c>
      <c r="DF47" t="e">
        <f t="shared" ref="DF47:DF52" si="161">K47*((2*N47*(P47-AC47))+(2*O47*(P47-AC47))+(N47+0.25)*(O47+0.25))</f>
        <v>#VALUE!</v>
      </c>
      <c r="DG47">
        <f t="shared" ref="DG47:DG52" si="162">((N47*O47*(P47-R47)-((N47-Q47*2)*(O47-Q47*2)*(P47-Q47*2))+((R47*1.1*1.4)-(R47*0.6*0.9)))*K47)</f>
        <v>6.2239999999999966</v>
      </c>
      <c r="DH47">
        <f t="shared" ref="DH47:DH52" si="163">(2*N47*O47+2*N47*P47+2*O47*P47)+(2*R47*1.1+2*R47*1.4)</f>
        <v>47.81</v>
      </c>
      <c r="DI47">
        <f t="shared" ref="DI47:DI52" si="164">2*(2*N47*O47+2*N47*P47+2*O47*P47)*7850*2*(0.003*0.003*3.14)*(1000/150)</f>
        <v>272.4799056</v>
      </c>
      <c r="DJ47">
        <f t="shared" ref="DJ47:DJ52" si="165">2*(2*N47*O47+2*N47*P47+2*O47*P47)*7850*2*(0.003*0.003*3.14)*(1000/100)</f>
        <v>408.71985840000002</v>
      </c>
      <c r="DK47">
        <f t="shared" ref="DK47:DK52" si="166">2*(2*N47*O47+2*N47*P47+2*O47*P47)*7850*2*(0.004*0.004*3.14)*(1000/100)</f>
        <v>726.61308159999999</v>
      </c>
      <c r="DL47">
        <f t="shared" ref="DL47:DL52" si="167">(N47+1.5)*(P47+R47)+(O47+1.8)*(P47+R47)</f>
        <v>31.57</v>
      </c>
      <c r="DN47">
        <f t="shared" ref="DN47:DN52" si="168">2*(2*N47*O47+2*N47*P47+2*O47*P47)*7850*2*(0.006*0.006*3.14)*(1000/150)</f>
        <v>1089.9196224</v>
      </c>
      <c r="DP47">
        <f t="shared" ref="DP47:DP52" si="169">IF(K47=0,0,(N47+0.9)*(O47+1.1))*IF(AI47=1,7850*(0.003*0.003*3.14)*(1000/150),0)</f>
        <v>0</v>
      </c>
      <c r="DQ47">
        <f t="shared" ref="DQ47:DQ52" si="170">IF(K47=0,0,(N47+0.9)*(O47+1.1))*IF(AI47=2,7850*(0.003*0.003*3.14)*(1000/100),0)</f>
        <v>0</v>
      </c>
      <c r="DR47">
        <f t="shared" ref="DR47:DR52" si="171">IF(K47=0,0,(N47+0.9)*(O47+1.1))*IF(AI47=3,7850*(0.004*0.004*3.14)*(1000/100),0)</f>
        <v>0</v>
      </c>
      <c r="DU47" t="e">
        <f t="shared" ref="DU47:DU52" si="172">(N47+0.6+0.6+(0.25*AE47))*(O47+0.6+0.6+(0.25*AE47))*AE47</f>
        <v>#VALUE!</v>
      </c>
    </row>
    <row r="48" spans="1:125" ht="17.25" x14ac:dyDescent="0.3">
      <c r="A48" s="72">
        <f t="shared" si="107"/>
        <v>5.4</v>
      </c>
      <c r="B48" s="113"/>
      <c r="C48" s="28"/>
      <c r="D48" s="118">
        <f>1+3+4</f>
        <v>8</v>
      </c>
      <c r="E48" s="72"/>
      <c r="F48" s="113"/>
      <c r="G48" s="113"/>
      <c r="H48" s="113"/>
      <c r="I48" s="314"/>
      <c r="J48" s="142" t="s">
        <v>142</v>
      </c>
      <c r="K48" s="213">
        <v>1</v>
      </c>
      <c r="L48" s="72"/>
      <c r="M48" s="27">
        <f t="shared" si="103"/>
        <v>0</v>
      </c>
      <c r="N48" s="118">
        <v>2.7</v>
      </c>
      <c r="O48" s="72">
        <v>2</v>
      </c>
      <c r="P48" s="72">
        <v>4</v>
      </c>
      <c r="Q48" s="72">
        <v>0.2</v>
      </c>
      <c r="R48" s="72">
        <v>0.35</v>
      </c>
      <c r="S48" s="222">
        <f t="shared" si="121"/>
        <v>21.6</v>
      </c>
      <c r="T48" s="290">
        <f t="shared" si="79"/>
        <v>7.5200000000000005</v>
      </c>
      <c r="U48" s="290">
        <f t="shared" si="80"/>
        <v>7.8420000000000005</v>
      </c>
      <c r="V48" s="290">
        <f t="shared" si="81"/>
        <v>1999.71</v>
      </c>
      <c r="W48" s="48"/>
      <c r="X48" s="250" t="s">
        <v>158</v>
      </c>
      <c r="Y48" s="14" t="str">
        <f t="shared" si="71"/>
        <v>ŽB. šachta</v>
      </c>
      <c r="Z48" s="16">
        <v>1</v>
      </c>
      <c r="AA48" s="16" t="s">
        <v>75</v>
      </c>
      <c r="AB48" s="181" t="s">
        <v>16</v>
      </c>
      <c r="AC48" s="260" t="str">
        <f t="shared" si="5"/>
        <v>Š23</v>
      </c>
      <c r="AD48" s="263">
        <f t="shared" si="72"/>
        <v>1</v>
      </c>
      <c r="AE48" s="37" t="s">
        <v>184</v>
      </c>
      <c r="AF48" s="48" t="s">
        <v>184</v>
      </c>
      <c r="AG48" s="48">
        <f t="shared" si="122"/>
        <v>40.200000000000003</v>
      </c>
      <c r="AH48" s="48">
        <f t="shared" si="123"/>
        <v>40.200000000000003</v>
      </c>
      <c r="AI48" s="24" t="s">
        <v>184</v>
      </c>
      <c r="AJ48" s="307">
        <f t="shared" si="124"/>
        <v>80.400000000000006</v>
      </c>
      <c r="AK48" s="255" t="str">
        <f t="shared" si="74"/>
        <v>Š23</v>
      </c>
      <c r="AL48" s="28" t="s">
        <v>22</v>
      </c>
      <c r="AM48" s="25">
        <f t="shared" si="125"/>
        <v>86</v>
      </c>
      <c r="AN48" s="56">
        <f t="shared" si="110"/>
        <v>12.480000000000002</v>
      </c>
      <c r="AO48" s="251" t="s">
        <v>22</v>
      </c>
      <c r="AP48" s="194">
        <f t="shared" si="126"/>
        <v>4.5580000000000034</v>
      </c>
      <c r="AQ48" s="208"/>
      <c r="AR48" s="203">
        <f t="shared" si="127"/>
        <v>0</v>
      </c>
      <c r="AS48" s="189"/>
      <c r="AT48" s="198">
        <f t="shared" si="9"/>
        <v>0</v>
      </c>
      <c r="AU48" s="199">
        <f t="shared" si="128"/>
        <v>14.976000000000003</v>
      </c>
      <c r="AV48" s="222">
        <f t="shared" si="129"/>
        <v>1.8720000000000003</v>
      </c>
      <c r="AW48" s="118"/>
      <c r="AX48" s="103">
        <f t="shared" si="12"/>
        <v>1.2</v>
      </c>
      <c r="AY48" s="192">
        <f t="shared" si="130"/>
        <v>12.480000000000002</v>
      </c>
      <c r="AZ48" s="192">
        <v>0.75</v>
      </c>
      <c r="BA48" s="192">
        <f t="shared" si="131"/>
        <v>43.524000000000001</v>
      </c>
      <c r="BB48" s="113">
        <f t="shared" si="132"/>
        <v>0</v>
      </c>
      <c r="BC48" s="113">
        <f t="shared" si="133"/>
        <v>19</v>
      </c>
      <c r="BD48" s="270">
        <f t="shared" ref="BD48:BD82" si="173">IF((BB48+BC48)&gt;0.01,0,IF(AA47="nástupiště",0.25*((N48+2*AX48)+(O48+2*AX48)),2*((N48+2*AX48)+(O48+2*AX48))))</f>
        <v>0</v>
      </c>
      <c r="BE48" s="228">
        <f t="shared" si="134"/>
        <v>26.448000000000008</v>
      </c>
      <c r="BF48" s="268">
        <v>2</v>
      </c>
      <c r="BG48" s="268">
        <f>BF48*IF(K48=0,0,N48-0.8)</f>
        <v>3.8000000000000003</v>
      </c>
      <c r="BH48" s="118">
        <v>6</v>
      </c>
      <c r="BI48" s="72">
        <f t="shared" si="135"/>
        <v>180</v>
      </c>
      <c r="BJ48" s="256" t="str">
        <f t="shared" si="78"/>
        <v>Š23</v>
      </c>
      <c r="BK48" s="230">
        <f t="shared" si="83"/>
        <v>11.4</v>
      </c>
      <c r="BL48" s="3">
        <f t="shared" si="86"/>
        <v>1</v>
      </c>
      <c r="BM48" s="3">
        <f t="shared" si="87"/>
        <v>1</v>
      </c>
      <c r="BN48" s="10">
        <f t="shared" si="136"/>
        <v>0</v>
      </c>
      <c r="BO48" s="3">
        <f t="shared" si="137"/>
        <v>0</v>
      </c>
      <c r="BP48" s="3">
        <f t="shared" si="138"/>
        <v>0</v>
      </c>
      <c r="BQ48" s="3">
        <f t="shared" si="139"/>
        <v>0</v>
      </c>
      <c r="BR48" s="3">
        <f t="shared" si="140"/>
        <v>0</v>
      </c>
      <c r="BS48" s="3">
        <f t="shared" si="141"/>
        <v>1</v>
      </c>
      <c r="BT48" s="3"/>
      <c r="BU48" s="3">
        <f t="shared" si="142"/>
        <v>0</v>
      </c>
      <c r="BV48" s="3">
        <f t="shared" si="143"/>
        <v>1</v>
      </c>
      <c r="BW48" s="3">
        <f t="shared" si="144"/>
        <v>0</v>
      </c>
      <c r="BX48" s="3">
        <f t="shared" si="145"/>
        <v>0</v>
      </c>
      <c r="BY48" s="3">
        <f t="shared" si="146"/>
        <v>0</v>
      </c>
      <c r="BZ48" s="3">
        <f t="shared" si="147"/>
        <v>0</v>
      </c>
      <c r="CA48" s="3">
        <f t="shared" si="148"/>
        <v>0</v>
      </c>
      <c r="CB48" s="3">
        <f t="shared" si="149"/>
        <v>0</v>
      </c>
      <c r="CC48" s="3">
        <f t="shared" si="150"/>
        <v>0</v>
      </c>
      <c r="CD48" s="3">
        <f t="shared" si="151"/>
        <v>0</v>
      </c>
      <c r="CE48" s="3">
        <f t="shared" si="152"/>
        <v>0</v>
      </c>
      <c r="CF48" s="3">
        <f t="shared" si="153"/>
        <v>0</v>
      </c>
      <c r="CG48" s="3">
        <f t="shared" si="88"/>
        <v>1</v>
      </c>
      <c r="CH48" s="3">
        <f t="shared" si="89"/>
        <v>1</v>
      </c>
      <c r="CI48" s="3"/>
      <c r="CJ48" s="3">
        <f t="shared" si="154"/>
        <v>15.480000000000002</v>
      </c>
      <c r="CK48" s="3">
        <f t="shared" si="155"/>
        <v>35.28</v>
      </c>
      <c r="CL48" s="3">
        <f t="shared" si="90"/>
        <v>546.13440000000014</v>
      </c>
      <c r="CM48" s="3">
        <f t="shared" si="91"/>
        <v>23.369518608649177</v>
      </c>
      <c r="CN48" s="10">
        <f t="shared" si="156"/>
        <v>4.3499999999999996</v>
      </c>
      <c r="CO48" s="3">
        <f t="shared" si="157"/>
        <v>107.4878019825413</v>
      </c>
      <c r="CP48" s="3">
        <f t="shared" si="92"/>
        <v>53.74390099127065</v>
      </c>
      <c r="CQ48" s="3">
        <f t="shared" si="93"/>
        <v>0.5</v>
      </c>
      <c r="CR48" s="3">
        <f t="shared" si="41"/>
        <v>0.5</v>
      </c>
      <c r="CS48" s="3"/>
      <c r="CT48" s="3">
        <f t="shared" si="158"/>
        <v>27.130900991270646</v>
      </c>
      <c r="CU48" s="3">
        <f t="shared" si="94"/>
        <v>27.130900991270646</v>
      </c>
      <c r="CV48" s="3"/>
      <c r="CW48" s="3"/>
      <c r="CX48" s="3"/>
      <c r="DD48" t="e">
        <f t="shared" si="159"/>
        <v>#VALUE!</v>
      </c>
      <c r="DE48" t="e">
        <f t="shared" si="160"/>
        <v>#VALUE!</v>
      </c>
      <c r="DF48" t="e">
        <f t="shared" si="161"/>
        <v>#VALUE!</v>
      </c>
      <c r="DG48">
        <f t="shared" si="162"/>
        <v>6.8119999999999976</v>
      </c>
      <c r="DH48">
        <f t="shared" si="163"/>
        <v>50.150000000000006</v>
      </c>
      <c r="DI48">
        <f t="shared" si="164"/>
        <v>286.32278400000007</v>
      </c>
      <c r="DJ48">
        <f t="shared" si="165"/>
        <v>429.48417600000005</v>
      </c>
      <c r="DK48">
        <f t="shared" si="166"/>
        <v>763.52742400000011</v>
      </c>
      <c r="DL48">
        <f t="shared" si="167"/>
        <v>34.799999999999997</v>
      </c>
      <c r="DN48">
        <f t="shared" si="168"/>
        <v>1145.2911360000003</v>
      </c>
      <c r="DP48">
        <f t="shared" si="169"/>
        <v>0</v>
      </c>
      <c r="DQ48">
        <f t="shared" si="170"/>
        <v>0</v>
      </c>
      <c r="DR48">
        <f t="shared" si="171"/>
        <v>0</v>
      </c>
      <c r="DU48" t="e">
        <f t="shared" si="172"/>
        <v>#VALUE!</v>
      </c>
    </row>
    <row r="49" spans="1:125" ht="17.25" x14ac:dyDescent="0.3">
      <c r="A49" s="72">
        <f t="shared" si="107"/>
        <v>2.6917800000000001</v>
      </c>
      <c r="B49" s="113"/>
      <c r="C49" s="28">
        <v>1</v>
      </c>
      <c r="D49" s="118"/>
      <c r="E49" s="72"/>
      <c r="F49" s="113"/>
      <c r="G49" s="113"/>
      <c r="H49" s="113"/>
      <c r="I49" s="314"/>
      <c r="J49" s="142" t="s">
        <v>143</v>
      </c>
      <c r="K49" s="320">
        <v>0</v>
      </c>
      <c r="L49" s="72"/>
      <c r="M49" s="323">
        <f t="shared" ref="M49" si="174">IF(K49=0,1,0)</f>
        <v>1</v>
      </c>
      <c r="N49" s="118">
        <v>2.0299999999999998</v>
      </c>
      <c r="O49" s="72">
        <v>1.3260000000000001</v>
      </c>
      <c r="P49" s="72">
        <v>1.35</v>
      </c>
      <c r="Q49" s="72"/>
      <c r="R49" s="72"/>
      <c r="S49" s="222">
        <f t="shared" si="121"/>
        <v>3.6339030000000001</v>
      </c>
      <c r="T49" s="290">
        <f t="shared" si="79"/>
        <v>0</v>
      </c>
      <c r="U49" s="290">
        <f t="shared" si="80"/>
        <v>0</v>
      </c>
      <c r="V49" s="290">
        <f t="shared" si="81"/>
        <v>0</v>
      </c>
      <c r="W49" s="48"/>
      <c r="X49" s="250" t="s">
        <v>158</v>
      </c>
      <c r="Y49" s="14" t="str">
        <f t="shared" si="71"/>
        <v>pro pl. šachtu</v>
      </c>
      <c r="Z49" s="16">
        <v>1</v>
      </c>
      <c r="AA49" s="16" t="s">
        <v>75</v>
      </c>
      <c r="AB49" s="181" t="s">
        <v>16</v>
      </c>
      <c r="AC49" s="260" t="str">
        <f t="shared" si="5"/>
        <v>Š24</v>
      </c>
      <c r="AD49" s="263">
        <f t="shared" si="72"/>
        <v>0</v>
      </c>
      <c r="AE49" s="37" t="s">
        <v>249</v>
      </c>
      <c r="AF49" s="48" t="s">
        <v>249</v>
      </c>
      <c r="AG49" s="48">
        <f t="shared" si="122"/>
        <v>0</v>
      </c>
      <c r="AH49" s="48">
        <f t="shared" si="123"/>
        <v>0</v>
      </c>
      <c r="AI49" s="24" t="s">
        <v>23</v>
      </c>
      <c r="AJ49" s="307">
        <f t="shared" si="124"/>
        <v>0</v>
      </c>
      <c r="AK49" s="255" t="str">
        <f t="shared" si="74"/>
        <v>Š24</v>
      </c>
      <c r="AL49" s="28" t="s">
        <v>22</v>
      </c>
      <c r="AM49" s="25">
        <f t="shared" si="125"/>
        <v>23.505959999999998</v>
      </c>
      <c r="AN49" s="56">
        <f t="shared" si="110"/>
        <v>5.5309799999999987</v>
      </c>
      <c r="AO49" s="251" t="s">
        <v>22</v>
      </c>
      <c r="AP49" s="194">
        <f t="shared" si="126"/>
        <v>2.600836000000001</v>
      </c>
      <c r="AQ49" s="208"/>
      <c r="AR49" s="203">
        <f t="shared" si="127"/>
        <v>0</v>
      </c>
      <c r="AS49" s="189"/>
      <c r="AT49" s="198">
        <f t="shared" si="9"/>
        <v>1.5</v>
      </c>
      <c r="AU49" s="199">
        <f t="shared" si="128"/>
        <v>0</v>
      </c>
      <c r="AV49" s="222">
        <f t="shared" si="129"/>
        <v>0.55309799999999987</v>
      </c>
      <c r="AW49" s="118"/>
      <c r="AX49" s="103">
        <f t="shared" si="12"/>
        <v>0.7</v>
      </c>
      <c r="AY49" s="192">
        <f t="shared" si="130"/>
        <v>5.5309799999999987</v>
      </c>
      <c r="AZ49" s="192">
        <v>0</v>
      </c>
      <c r="BA49" s="192">
        <f t="shared" si="131"/>
        <v>0</v>
      </c>
      <c r="BB49" s="113">
        <f t="shared" si="132"/>
        <v>0</v>
      </c>
      <c r="BC49" s="113">
        <f t="shared" si="133"/>
        <v>0</v>
      </c>
      <c r="BD49" s="270">
        <f t="shared" si="173"/>
        <v>1.5389999999999999</v>
      </c>
      <c r="BE49" s="228">
        <f t="shared" si="134"/>
        <v>3.2798219999999985</v>
      </c>
      <c r="BF49" s="268">
        <f>CEILING(IF(K49=0,0,N49-0.8+O49-0.8),1)</f>
        <v>0</v>
      </c>
      <c r="BG49" s="268">
        <f>CEILING(IF(L49=0,0,O49-0.8+P49-0.8),1)</f>
        <v>0</v>
      </c>
      <c r="BH49" s="118">
        <v>5</v>
      </c>
      <c r="BI49" s="72">
        <f t="shared" si="68"/>
        <v>0</v>
      </c>
      <c r="BJ49" s="256" t="str">
        <f t="shared" si="78"/>
        <v>Š24</v>
      </c>
      <c r="BK49" s="230">
        <f t="shared" si="83"/>
        <v>0</v>
      </c>
      <c r="BL49" s="3">
        <f t="shared" si="86"/>
        <v>0</v>
      </c>
      <c r="BM49" s="3">
        <f t="shared" si="87"/>
        <v>0</v>
      </c>
      <c r="BN49" s="10">
        <f t="shared" si="136"/>
        <v>0</v>
      </c>
      <c r="BO49" s="3">
        <f t="shared" si="137"/>
        <v>0</v>
      </c>
      <c r="BP49" s="3">
        <f t="shared" si="138"/>
        <v>0</v>
      </c>
      <c r="BQ49" s="3">
        <f t="shared" si="139"/>
        <v>0</v>
      </c>
      <c r="BR49" s="3">
        <f t="shared" si="140"/>
        <v>0</v>
      </c>
      <c r="BS49" s="3">
        <f t="shared" si="141"/>
        <v>0</v>
      </c>
      <c r="BT49" s="3"/>
      <c r="BU49" s="3">
        <f t="shared" si="142"/>
        <v>0</v>
      </c>
      <c r="BV49" s="3">
        <f t="shared" si="143"/>
        <v>0</v>
      </c>
      <c r="BW49" s="3">
        <f t="shared" si="144"/>
        <v>0</v>
      </c>
      <c r="BX49" s="3">
        <f t="shared" si="145"/>
        <v>0</v>
      </c>
      <c r="BY49" s="3">
        <f t="shared" si="146"/>
        <v>0</v>
      </c>
      <c r="BZ49" s="3">
        <f t="shared" si="147"/>
        <v>0</v>
      </c>
      <c r="CA49" s="3">
        <f t="shared" si="148"/>
        <v>1.35</v>
      </c>
      <c r="CB49" s="3">
        <f t="shared" si="149"/>
        <v>0</v>
      </c>
      <c r="CC49" s="3">
        <f t="shared" si="150"/>
        <v>0</v>
      </c>
      <c r="CD49" s="3">
        <f t="shared" si="151"/>
        <v>0</v>
      </c>
      <c r="CE49" s="3">
        <f t="shared" si="152"/>
        <v>0</v>
      </c>
      <c r="CF49" s="3">
        <f t="shared" si="153"/>
        <v>0</v>
      </c>
      <c r="CG49" s="3">
        <f t="shared" si="88"/>
        <v>1</v>
      </c>
      <c r="CH49" s="3">
        <f t="shared" si="89"/>
        <v>1</v>
      </c>
      <c r="CI49" s="3"/>
      <c r="CJ49" s="3">
        <f t="shared" si="154"/>
        <v>10.62138</v>
      </c>
      <c r="CK49" s="3">
        <f t="shared" si="155"/>
        <v>27.73338</v>
      </c>
      <c r="CL49" s="3">
        <f t="shared" si="90"/>
        <v>294.5667676644</v>
      </c>
      <c r="CM49" s="3">
        <f t="shared" si="91"/>
        <v>17.162947522625593</v>
      </c>
      <c r="CN49" s="10">
        <f t="shared" si="156"/>
        <v>1.35</v>
      </c>
      <c r="CO49" s="3">
        <f t="shared" si="157"/>
        <v>24.982968385181518</v>
      </c>
      <c r="CP49" s="3">
        <f t="shared" si="92"/>
        <v>0</v>
      </c>
      <c r="CQ49" s="3">
        <f t="shared" si="93"/>
        <v>0</v>
      </c>
      <c r="CR49" s="3">
        <f t="shared" si="41"/>
        <v>0</v>
      </c>
      <c r="CS49" s="3"/>
      <c r="CT49" s="3">
        <f t="shared" si="158"/>
        <v>-4.9343210000000006</v>
      </c>
      <c r="CU49" s="3">
        <f t="shared" si="94"/>
        <v>0</v>
      </c>
      <c r="CV49" s="3"/>
      <c r="CW49" s="3"/>
      <c r="CX49" s="3"/>
      <c r="DD49" t="e">
        <f t="shared" si="159"/>
        <v>#VALUE!</v>
      </c>
      <c r="DE49" t="e">
        <f t="shared" si="160"/>
        <v>#VALUE!</v>
      </c>
      <c r="DF49" t="e">
        <f t="shared" si="161"/>
        <v>#VALUE!</v>
      </c>
      <c r="DG49">
        <f t="shared" si="162"/>
        <v>0</v>
      </c>
      <c r="DH49">
        <f t="shared" si="163"/>
        <v>14.444760000000002</v>
      </c>
      <c r="DI49">
        <f t="shared" si="164"/>
        <v>85.451733417600025</v>
      </c>
      <c r="DJ49">
        <f t="shared" si="165"/>
        <v>128.17760012640002</v>
      </c>
      <c r="DK49">
        <f t="shared" si="166"/>
        <v>227.87128911360003</v>
      </c>
      <c r="DL49">
        <f t="shared" si="167"/>
        <v>8.9856000000000016</v>
      </c>
      <c r="DN49">
        <f t="shared" si="168"/>
        <v>341.8069336704001</v>
      </c>
      <c r="DP49">
        <f t="shared" si="169"/>
        <v>0</v>
      </c>
      <c r="DQ49">
        <f t="shared" si="170"/>
        <v>0</v>
      </c>
      <c r="DR49">
        <f t="shared" si="171"/>
        <v>0</v>
      </c>
      <c r="DU49" t="e">
        <f t="shared" si="172"/>
        <v>#VALUE!</v>
      </c>
    </row>
    <row r="50" spans="1:125" ht="17.25" x14ac:dyDescent="0.3">
      <c r="A50" s="72">
        <f t="shared" si="107"/>
        <v>4.41</v>
      </c>
      <c r="B50" s="113"/>
      <c r="C50" s="28"/>
      <c r="D50" s="118">
        <v>3</v>
      </c>
      <c r="E50" s="72"/>
      <c r="F50" s="113"/>
      <c r="G50" s="113"/>
      <c r="H50" s="113"/>
      <c r="I50" s="314"/>
      <c r="J50" s="142" t="s">
        <v>144</v>
      </c>
      <c r="K50" s="213">
        <v>1</v>
      </c>
      <c r="L50" s="72"/>
      <c r="M50" s="27">
        <f t="shared" si="103"/>
        <v>0</v>
      </c>
      <c r="N50" s="118">
        <v>2.1</v>
      </c>
      <c r="O50" s="72">
        <v>2.1</v>
      </c>
      <c r="P50" s="72">
        <v>2.8</v>
      </c>
      <c r="Q50" s="72">
        <v>0.2</v>
      </c>
      <c r="R50" s="72">
        <v>0.35</v>
      </c>
      <c r="S50" s="222">
        <f t="shared" si="121"/>
        <v>12.347999999999999</v>
      </c>
      <c r="T50" s="290">
        <f t="shared" si="79"/>
        <v>4.7039999999999997</v>
      </c>
      <c r="U50" s="290">
        <f t="shared" si="80"/>
        <v>5.0259999999999998</v>
      </c>
      <c r="V50" s="290">
        <f t="shared" si="81"/>
        <v>1281.6299999999999</v>
      </c>
      <c r="W50" s="48"/>
      <c r="X50" s="250" t="s">
        <v>158</v>
      </c>
      <c r="Y50" s="14" t="str">
        <f t="shared" si="71"/>
        <v>ŽB. šachta</v>
      </c>
      <c r="Z50" s="16">
        <v>1</v>
      </c>
      <c r="AA50" s="16" t="s">
        <v>75</v>
      </c>
      <c r="AB50" s="181" t="s">
        <v>16</v>
      </c>
      <c r="AC50" s="260" t="str">
        <f t="shared" si="5"/>
        <v>Š25</v>
      </c>
      <c r="AD50" s="263">
        <f t="shared" si="72"/>
        <v>1</v>
      </c>
      <c r="AE50" s="37" t="s">
        <v>184</v>
      </c>
      <c r="AF50" s="48" t="s">
        <v>184</v>
      </c>
      <c r="AG50" s="48">
        <f t="shared" si="122"/>
        <v>30.379999999999995</v>
      </c>
      <c r="AH50" s="48">
        <f t="shared" si="123"/>
        <v>30.379999999999995</v>
      </c>
      <c r="AI50" s="24" t="s">
        <v>184</v>
      </c>
      <c r="AJ50" s="307">
        <f t="shared" si="124"/>
        <v>60.759999999999991</v>
      </c>
      <c r="AK50" s="255" t="str">
        <f t="shared" si="74"/>
        <v>Š25</v>
      </c>
      <c r="AL50" s="28" t="s">
        <v>22</v>
      </c>
      <c r="AM50" s="25">
        <f t="shared" si="125"/>
        <v>55.86</v>
      </c>
      <c r="AN50" s="56">
        <f t="shared" si="110"/>
        <v>10.889999999999999</v>
      </c>
      <c r="AO50" s="251" t="s">
        <v>218</v>
      </c>
      <c r="AP50" s="194">
        <f t="shared" si="126"/>
        <v>0</v>
      </c>
      <c r="AQ50" s="208"/>
      <c r="AR50" s="203">
        <f t="shared" si="127"/>
        <v>0</v>
      </c>
      <c r="AS50" s="189"/>
      <c r="AT50" s="198">
        <f t="shared" si="9"/>
        <v>0</v>
      </c>
      <c r="AU50" s="199">
        <f t="shared" si="128"/>
        <v>13.067999999999998</v>
      </c>
      <c r="AV50" s="222">
        <f t="shared" si="129"/>
        <v>1.6334999999999997</v>
      </c>
      <c r="AW50" s="118"/>
      <c r="AX50" s="103">
        <f t="shared" si="12"/>
        <v>1.2</v>
      </c>
      <c r="AY50" s="192">
        <f t="shared" si="130"/>
        <v>10.889999999999999</v>
      </c>
      <c r="AZ50" s="192">
        <v>0.75</v>
      </c>
      <c r="BA50" s="192">
        <f t="shared" si="131"/>
        <v>28.177874999999993</v>
      </c>
      <c r="BB50" s="113">
        <f t="shared" si="132"/>
        <v>0</v>
      </c>
      <c r="BC50" s="113">
        <f t="shared" si="133"/>
        <v>18</v>
      </c>
      <c r="BD50" s="270">
        <f t="shared" si="173"/>
        <v>0</v>
      </c>
      <c r="BE50" s="228">
        <f t="shared" si="134"/>
        <v>16.510499999999993</v>
      </c>
      <c r="BF50" s="268">
        <v>2</v>
      </c>
      <c r="BG50" s="268">
        <f t="shared" ref="BG50:BG57" si="175">BF50*IF(K50=0,0,N50-0.8)</f>
        <v>2.6</v>
      </c>
      <c r="BH50" s="118">
        <v>6</v>
      </c>
      <c r="BI50" s="72">
        <f t="shared" ref="BI50:BI56" si="176">BF50*BH50*15</f>
        <v>180</v>
      </c>
      <c r="BJ50" s="256" t="str">
        <f t="shared" si="78"/>
        <v>Š25</v>
      </c>
      <c r="BK50" s="230">
        <f t="shared" si="83"/>
        <v>7.8000000000000007</v>
      </c>
      <c r="BL50" s="3">
        <f t="shared" si="86"/>
        <v>1</v>
      </c>
      <c r="BM50" s="3">
        <f t="shared" si="87"/>
        <v>1</v>
      </c>
      <c r="BN50" s="10">
        <f t="shared" si="136"/>
        <v>0</v>
      </c>
      <c r="BO50" s="3">
        <f t="shared" si="137"/>
        <v>0</v>
      </c>
      <c r="BP50" s="3">
        <f t="shared" si="138"/>
        <v>0</v>
      </c>
      <c r="BQ50" s="3">
        <f t="shared" si="139"/>
        <v>1</v>
      </c>
      <c r="BR50" s="3">
        <f t="shared" si="140"/>
        <v>0</v>
      </c>
      <c r="BS50" s="3">
        <f t="shared" si="141"/>
        <v>0</v>
      </c>
      <c r="BT50" s="3"/>
      <c r="BU50" s="3">
        <f t="shared" si="142"/>
        <v>1</v>
      </c>
      <c r="BV50" s="3">
        <f t="shared" si="143"/>
        <v>0</v>
      </c>
      <c r="BW50" s="3">
        <f t="shared" si="144"/>
        <v>0</v>
      </c>
      <c r="BX50" s="3">
        <f t="shared" si="145"/>
        <v>0</v>
      </c>
      <c r="BY50" s="3">
        <f t="shared" si="146"/>
        <v>0</v>
      </c>
      <c r="BZ50" s="3">
        <f t="shared" si="147"/>
        <v>0</v>
      </c>
      <c r="CA50" s="3">
        <f t="shared" si="148"/>
        <v>0</v>
      </c>
      <c r="CB50" s="3">
        <f t="shared" si="149"/>
        <v>0</v>
      </c>
      <c r="CC50" s="3">
        <f t="shared" si="150"/>
        <v>0</v>
      </c>
      <c r="CD50" s="3">
        <f t="shared" si="151"/>
        <v>0</v>
      </c>
      <c r="CE50" s="3">
        <f t="shared" si="152"/>
        <v>0</v>
      </c>
      <c r="CF50" s="3">
        <f t="shared" si="153"/>
        <v>0</v>
      </c>
      <c r="CG50" s="3">
        <f t="shared" si="88"/>
        <v>1</v>
      </c>
      <c r="CH50" s="3">
        <f t="shared" si="89"/>
        <v>0</v>
      </c>
      <c r="CI50" s="3"/>
      <c r="CJ50" s="3">
        <f t="shared" si="154"/>
        <v>13.690000000000001</v>
      </c>
      <c r="CK50" s="3">
        <f t="shared" si="155"/>
        <v>32.49</v>
      </c>
      <c r="CL50" s="3">
        <f t="shared" si="90"/>
        <v>444.78810000000004</v>
      </c>
      <c r="CM50" s="3">
        <f t="shared" si="91"/>
        <v>21.09</v>
      </c>
      <c r="CN50" s="10">
        <f t="shared" si="156"/>
        <v>3.15</v>
      </c>
      <c r="CO50" s="3">
        <f t="shared" si="157"/>
        <v>70.633500000000012</v>
      </c>
      <c r="CP50" s="3">
        <f t="shared" si="92"/>
        <v>35.316750000000006</v>
      </c>
      <c r="CQ50" s="3">
        <f t="shared" si="93"/>
        <v>0.5</v>
      </c>
      <c r="CR50" s="3">
        <f t="shared" si="41"/>
        <v>0.5</v>
      </c>
      <c r="CS50" s="3"/>
      <c r="CT50" s="3">
        <f t="shared" si="158"/>
        <v>19.520750000000003</v>
      </c>
      <c r="CU50" s="3">
        <f t="shared" si="94"/>
        <v>19.520750000000003</v>
      </c>
      <c r="CV50" s="3"/>
      <c r="CW50" s="3"/>
      <c r="CX50" s="3"/>
      <c r="DD50" t="e">
        <f t="shared" si="159"/>
        <v>#VALUE!</v>
      </c>
      <c r="DE50" t="e">
        <f t="shared" si="160"/>
        <v>#VALUE!</v>
      </c>
      <c r="DF50" t="e">
        <f t="shared" si="161"/>
        <v>#VALUE!</v>
      </c>
      <c r="DG50">
        <f t="shared" si="162"/>
        <v>4.2184999999999979</v>
      </c>
      <c r="DH50">
        <f t="shared" si="163"/>
        <v>34.089999999999996</v>
      </c>
      <c r="DI50">
        <f t="shared" si="164"/>
        <v>191.3156784</v>
      </c>
      <c r="DJ50">
        <f t="shared" si="165"/>
        <v>286.97351759999998</v>
      </c>
      <c r="DK50">
        <f t="shared" si="166"/>
        <v>510.17514239999997</v>
      </c>
      <c r="DL50">
        <f t="shared" si="167"/>
        <v>23.625</v>
      </c>
      <c r="DN50">
        <f t="shared" si="168"/>
        <v>765.26271359999998</v>
      </c>
      <c r="DP50">
        <f t="shared" si="169"/>
        <v>0</v>
      </c>
      <c r="DQ50">
        <f t="shared" si="170"/>
        <v>0</v>
      </c>
      <c r="DR50">
        <f t="shared" si="171"/>
        <v>0</v>
      </c>
      <c r="DU50" t="e">
        <f t="shared" si="172"/>
        <v>#VALUE!</v>
      </c>
    </row>
    <row r="51" spans="1:125" ht="17.25" x14ac:dyDescent="0.3">
      <c r="A51" s="72">
        <f t="shared" si="107"/>
        <v>4.41</v>
      </c>
      <c r="B51" s="113"/>
      <c r="C51" s="28"/>
      <c r="D51" s="408">
        <v>3</v>
      </c>
      <c r="E51" s="72"/>
      <c r="F51" s="113"/>
      <c r="G51" s="113"/>
      <c r="H51" s="113"/>
      <c r="I51" s="314"/>
      <c r="J51" s="142" t="s">
        <v>145</v>
      </c>
      <c r="K51" s="213">
        <v>1</v>
      </c>
      <c r="L51" s="72"/>
      <c r="M51" s="27">
        <f t="shared" si="103"/>
        <v>0</v>
      </c>
      <c r="N51" s="118">
        <v>2.1</v>
      </c>
      <c r="O51" s="72">
        <v>2.1</v>
      </c>
      <c r="P51" s="72">
        <v>2.8</v>
      </c>
      <c r="Q51" s="72">
        <v>0.2</v>
      </c>
      <c r="R51" s="72">
        <v>0.35</v>
      </c>
      <c r="S51" s="222">
        <f t="shared" si="121"/>
        <v>12.347999999999999</v>
      </c>
      <c r="T51" s="290">
        <f t="shared" si="79"/>
        <v>4.7039999999999997</v>
      </c>
      <c r="U51" s="290">
        <f t="shared" si="80"/>
        <v>5.0259999999999998</v>
      </c>
      <c r="V51" s="290">
        <f t="shared" si="81"/>
        <v>1281.6299999999999</v>
      </c>
      <c r="W51" s="48"/>
      <c r="X51" s="250" t="s">
        <v>158</v>
      </c>
      <c r="Y51" s="14" t="str">
        <f t="shared" si="71"/>
        <v>ŽB. šachta</v>
      </c>
      <c r="Z51" s="16">
        <v>1</v>
      </c>
      <c r="AA51" s="16" t="s">
        <v>75</v>
      </c>
      <c r="AB51" s="181" t="s">
        <v>16</v>
      </c>
      <c r="AC51" s="260" t="str">
        <f t="shared" si="5"/>
        <v>Š26</v>
      </c>
      <c r="AD51" s="263">
        <f t="shared" si="72"/>
        <v>1</v>
      </c>
      <c r="AE51" s="37" t="s">
        <v>184</v>
      </c>
      <c r="AF51" s="48" t="s">
        <v>184</v>
      </c>
      <c r="AG51" s="48">
        <f t="shared" si="122"/>
        <v>30.379999999999995</v>
      </c>
      <c r="AH51" s="48">
        <f t="shared" si="123"/>
        <v>30.379999999999995</v>
      </c>
      <c r="AI51" s="24" t="s">
        <v>217</v>
      </c>
      <c r="AJ51" s="307">
        <f t="shared" si="124"/>
        <v>60.759999999999991</v>
      </c>
      <c r="AK51" s="255" t="str">
        <f t="shared" si="74"/>
        <v>Š26</v>
      </c>
      <c r="AL51" s="28" t="s">
        <v>22</v>
      </c>
      <c r="AM51" s="25">
        <f t="shared" si="125"/>
        <v>55.86</v>
      </c>
      <c r="AN51" s="56">
        <f t="shared" si="110"/>
        <v>10.889999999999999</v>
      </c>
      <c r="AO51" s="251" t="s">
        <v>218</v>
      </c>
      <c r="AP51" s="194">
        <f t="shared" si="126"/>
        <v>0</v>
      </c>
      <c r="AQ51" s="208"/>
      <c r="AR51" s="203">
        <f t="shared" si="127"/>
        <v>0</v>
      </c>
      <c r="AS51" s="189"/>
      <c r="AT51" s="198">
        <f t="shared" si="9"/>
        <v>0</v>
      </c>
      <c r="AU51" s="199">
        <f t="shared" si="128"/>
        <v>13.067999999999998</v>
      </c>
      <c r="AV51" s="222">
        <f t="shared" si="129"/>
        <v>1.6334999999999997</v>
      </c>
      <c r="AW51" s="118"/>
      <c r="AX51" s="103">
        <f t="shared" si="12"/>
        <v>1.2</v>
      </c>
      <c r="AY51" s="192">
        <f t="shared" si="130"/>
        <v>10.889999999999999</v>
      </c>
      <c r="AZ51" s="192">
        <v>0.75</v>
      </c>
      <c r="BA51" s="192">
        <f t="shared" si="131"/>
        <v>28.177874999999993</v>
      </c>
      <c r="BB51" s="113">
        <f t="shared" si="132"/>
        <v>0</v>
      </c>
      <c r="BC51" s="113">
        <f t="shared" si="133"/>
        <v>18</v>
      </c>
      <c r="BD51" s="270">
        <f t="shared" si="173"/>
        <v>0</v>
      </c>
      <c r="BE51" s="228">
        <f t="shared" si="134"/>
        <v>16.510499999999993</v>
      </c>
      <c r="BF51" s="268">
        <v>2</v>
      </c>
      <c r="BG51" s="268">
        <f t="shared" si="175"/>
        <v>2.6</v>
      </c>
      <c r="BH51" s="118">
        <v>6</v>
      </c>
      <c r="BI51" s="72">
        <f t="shared" si="176"/>
        <v>180</v>
      </c>
      <c r="BJ51" s="256" t="str">
        <f t="shared" si="78"/>
        <v>Š26</v>
      </c>
      <c r="BK51" s="230">
        <f t="shared" si="83"/>
        <v>7.8000000000000007</v>
      </c>
      <c r="BL51" s="3">
        <f t="shared" si="86"/>
        <v>1</v>
      </c>
      <c r="BM51" s="3">
        <f t="shared" si="87"/>
        <v>1</v>
      </c>
      <c r="BN51" s="10">
        <f t="shared" si="136"/>
        <v>0</v>
      </c>
      <c r="BO51" s="3">
        <f t="shared" si="137"/>
        <v>0</v>
      </c>
      <c r="BP51" s="3">
        <f t="shared" si="138"/>
        <v>0</v>
      </c>
      <c r="BQ51" s="3">
        <f t="shared" si="139"/>
        <v>1</v>
      </c>
      <c r="BR51" s="3">
        <f t="shared" si="140"/>
        <v>0</v>
      </c>
      <c r="BS51" s="3">
        <f t="shared" si="141"/>
        <v>0</v>
      </c>
      <c r="BT51" s="3"/>
      <c r="BU51" s="3">
        <f t="shared" si="142"/>
        <v>1</v>
      </c>
      <c r="BV51" s="3">
        <f t="shared" si="143"/>
        <v>0</v>
      </c>
      <c r="BW51" s="3">
        <f t="shared" si="144"/>
        <v>0</v>
      </c>
      <c r="BX51" s="3">
        <f t="shared" si="145"/>
        <v>0</v>
      </c>
      <c r="BY51" s="3">
        <f t="shared" si="146"/>
        <v>0</v>
      </c>
      <c r="BZ51" s="3">
        <f t="shared" si="147"/>
        <v>0</v>
      </c>
      <c r="CA51" s="3">
        <f t="shared" si="148"/>
        <v>0</v>
      </c>
      <c r="CB51" s="3">
        <f t="shared" si="149"/>
        <v>0</v>
      </c>
      <c r="CC51" s="3">
        <f t="shared" si="150"/>
        <v>0</v>
      </c>
      <c r="CD51" s="3">
        <f t="shared" si="151"/>
        <v>0</v>
      </c>
      <c r="CE51" s="3">
        <f t="shared" si="152"/>
        <v>0</v>
      </c>
      <c r="CF51" s="3">
        <f t="shared" si="153"/>
        <v>0</v>
      </c>
      <c r="CG51" s="3">
        <f t="shared" si="88"/>
        <v>1</v>
      </c>
      <c r="CH51" s="3">
        <f t="shared" si="89"/>
        <v>0</v>
      </c>
      <c r="CI51" s="3"/>
      <c r="CJ51" s="3">
        <f t="shared" si="154"/>
        <v>13.690000000000001</v>
      </c>
      <c r="CK51" s="3">
        <f t="shared" si="155"/>
        <v>32.49</v>
      </c>
      <c r="CL51" s="3">
        <f t="shared" si="90"/>
        <v>444.78810000000004</v>
      </c>
      <c r="CM51" s="3">
        <f t="shared" si="91"/>
        <v>21.09</v>
      </c>
      <c r="CN51" s="10">
        <f t="shared" si="156"/>
        <v>3.15</v>
      </c>
      <c r="CO51" s="3">
        <f t="shared" si="157"/>
        <v>70.633500000000012</v>
      </c>
      <c r="CP51" s="3">
        <f t="shared" si="92"/>
        <v>35.316750000000006</v>
      </c>
      <c r="CQ51" s="3">
        <f t="shared" si="93"/>
        <v>0.5</v>
      </c>
      <c r="CR51" s="3">
        <f t="shared" si="41"/>
        <v>0.5</v>
      </c>
      <c r="CS51" s="3"/>
      <c r="CT51" s="3">
        <f t="shared" si="158"/>
        <v>19.520750000000003</v>
      </c>
      <c r="CU51" s="3">
        <f t="shared" si="94"/>
        <v>19.520750000000003</v>
      </c>
      <c r="CV51" s="3"/>
      <c r="CW51" s="3"/>
      <c r="CX51" s="3"/>
      <c r="DD51" t="e">
        <f t="shared" si="159"/>
        <v>#VALUE!</v>
      </c>
      <c r="DE51" t="e">
        <f t="shared" si="160"/>
        <v>#VALUE!</v>
      </c>
      <c r="DF51" t="e">
        <f t="shared" si="161"/>
        <v>#VALUE!</v>
      </c>
      <c r="DG51">
        <f t="shared" si="162"/>
        <v>4.2184999999999979</v>
      </c>
      <c r="DH51">
        <f t="shared" si="163"/>
        <v>34.089999999999996</v>
      </c>
      <c r="DI51">
        <f t="shared" si="164"/>
        <v>191.3156784</v>
      </c>
      <c r="DJ51">
        <f t="shared" si="165"/>
        <v>286.97351759999998</v>
      </c>
      <c r="DK51">
        <f t="shared" si="166"/>
        <v>510.17514239999997</v>
      </c>
      <c r="DL51">
        <f t="shared" si="167"/>
        <v>23.625</v>
      </c>
      <c r="DN51">
        <f t="shared" si="168"/>
        <v>765.26271359999998</v>
      </c>
      <c r="DP51">
        <f t="shared" si="169"/>
        <v>0</v>
      </c>
      <c r="DQ51">
        <f t="shared" si="170"/>
        <v>0</v>
      </c>
      <c r="DR51">
        <f t="shared" si="171"/>
        <v>0</v>
      </c>
      <c r="DU51" t="e">
        <f t="shared" si="172"/>
        <v>#VALUE!</v>
      </c>
    </row>
    <row r="52" spans="1:125" ht="17.25" x14ac:dyDescent="0.3">
      <c r="A52" s="72">
        <f t="shared" si="107"/>
        <v>4.41</v>
      </c>
      <c r="B52" s="113"/>
      <c r="C52" s="28"/>
      <c r="D52" s="118"/>
      <c r="E52" s="72"/>
      <c r="F52" s="113"/>
      <c r="G52" s="113"/>
      <c r="H52" s="113"/>
      <c r="I52" s="314"/>
      <c r="J52" s="142" t="s">
        <v>146</v>
      </c>
      <c r="K52" s="213">
        <v>1</v>
      </c>
      <c r="L52" s="72"/>
      <c r="M52" s="27">
        <f t="shared" si="103"/>
        <v>0</v>
      </c>
      <c r="N52" s="118">
        <v>2.1</v>
      </c>
      <c r="O52" s="72">
        <v>2.1</v>
      </c>
      <c r="P52" s="72">
        <v>2.8</v>
      </c>
      <c r="Q52" s="72">
        <v>0.2</v>
      </c>
      <c r="R52" s="72">
        <v>0.35</v>
      </c>
      <c r="S52" s="222">
        <f t="shared" si="121"/>
        <v>12.347999999999999</v>
      </c>
      <c r="T52" s="290">
        <f t="shared" si="79"/>
        <v>4.7039999999999997</v>
      </c>
      <c r="U52" s="290">
        <f t="shared" si="80"/>
        <v>5.0259999999999998</v>
      </c>
      <c r="V52" s="290">
        <f t="shared" si="81"/>
        <v>1281.6299999999999</v>
      </c>
      <c r="W52" s="48"/>
      <c r="X52" s="250" t="s">
        <v>158</v>
      </c>
      <c r="Y52" s="14" t="str">
        <f t="shared" si="71"/>
        <v>ŽB. šachta</v>
      </c>
      <c r="Z52" s="16">
        <v>1</v>
      </c>
      <c r="AA52" s="16" t="s">
        <v>75</v>
      </c>
      <c r="AB52" s="181" t="s">
        <v>16</v>
      </c>
      <c r="AC52" s="260" t="str">
        <f t="shared" ref="AC52:AC82" si="177">J52</f>
        <v>Š27</v>
      </c>
      <c r="AD52" s="263">
        <f t="shared" si="72"/>
        <v>1</v>
      </c>
      <c r="AE52" s="37" t="s">
        <v>184</v>
      </c>
      <c r="AF52" s="48" t="s">
        <v>184</v>
      </c>
      <c r="AG52" s="48">
        <f t="shared" si="122"/>
        <v>30.379999999999995</v>
      </c>
      <c r="AH52" s="48">
        <f t="shared" si="123"/>
        <v>30.379999999999995</v>
      </c>
      <c r="AI52" s="24" t="s">
        <v>184</v>
      </c>
      <c r="AJ52" s="307">
        <f t="shared" si="124"/>
        <v>60.759999999999991</v>
      </c>
      <c r="AK52" s="255" t="str">
        <f t="shared" si="74"/>
        <v>Š27</v>
      </c>
      <c r="AL52" s="28" t="s">
        <v>22</v>
      </c>
      <c r="AM52" s="25">
        <f t="shared" si="125"/>
        <v>55.86</v>
      </c>
      <c r="AN52" s="56">
        <f t="shared" si="110"/>
        <v>10.889999999999999</v>
      </c>
      <c r="AO52" s="251" t="s">
        <v>218</v>
      </c>
      <c r="AP52" s="194">
        <f t="shared" si="126"/>
        <v>0</v>
      </c>
      <c r="AQ52" s="208"/>
      <c r="AR52" s="203">
        <f t="shared" si="127"/>
        <v>0</v>
      </c>
      <c r="AS52" s="189"/>
      <c r="AT52" s="198">
        <f t="shared" ref="AT52:AT82" si="178">(M52*1.5)</f>
        <v>0</v>
      </c>
      <c r="AU52" s="199">
        <f t="shared" si="128"/>
        <v>13.067999999999998</v>
      </c>
      <c r="AV52" s="222">
        <f t="shared" si="129"/>
        <v>1.6334999999999997</v>
      </c>
      <c r="AW52" s="118"/>
      <c r="AX52" s="103">
        <f t="shared" ref="AX52:AX82" si="179">(K52+M52)*IF(K52=1,1.2,IF(K52=0,0.7,0))</f>
        <v>1.2</v>
      </c>
      <c r="AY52" s="192">
        <f t="shared" si="130"/>
        <v>10.889999999999999</v>
      </c>
      <c r="AZ52" s="192">
        <v>0.75</v>
      </c>
      <c r="BA52" s="192">
        <f t="shared" si="131"/>
        <v>28.177874999999993</v>
      </c>
      <c r="BB52" s="113">
        <f t="shared" si="132"/>
        <v>0</v>
      </c>
      <c r="BC52" s="113">
        <f t="shared" si="133"/>
        <v>18</v>
      </c>
      <c r="BD52" s="270">
        <f t="shared" si="173"/>
        <v>0</v>
      </c>
      <c r="BE52" s="228">
        <f t="shared" si="134"/>
        <v>16.510499999999993</v>
      </c>
      <c r="BF52" s="268">
        <v>2</v>
      </c>
      <c r="BG52" s="268">
        <f t="shared" si="175"/>
        <v>2.6</v>
      </c>
      <c r="BH52" s="118">
        <v>6</v>
      </c>
      <c r="BI52" s="72">
        <f t="shared" si="176"/>
        <v>180</v>
      </c>
      <c r="BJ52" s="256" t="str">
        <f t="shared" si="78"/>
        <v>Š27</v>
      </c>
      <c r="BK52" s="230">
        <f t="shared" si="83"/>
        <v>7.8000000000000007</v>
      </c>
      <c r="BL52" s="3">
        <f t="shared" si="86"/>
        <v>1</v>
      </c>
      <c r="BM52" s="3">
        <f t="shared" si="87"/>
        <v>1</v>
      </c>
      <c r="BN52" s="10">
        <f t="shared" si="136"/>
        <v>0</v>
      </c>
      <c r="BO52" s="3">
        <f t="shared" si="137"/>
        <v>0</v>
      </c>
      <c r="BP52" s="3">
        <f t="shared" si="138"/>
        <v>0</v>
      </c>
      <c r="BQ52" s="3">
        <f t="shared" si="139"/>
        <v>1</v>
      </c>
      <c r="BR52" s="3">
        <f t="shared" si="140"/>
        <v>0</v>
      </c>
      <c r="BS52" s="3">
        <f t="shared" si="141"/>
        <v>0</v>
      </c>
      <c r="BT52" s="3"/>
      <c r="BU52" s="3">
        <f t="shared" si="142"/>
        <v>1</v>
      </c>
      <c r="BV52" s="3">
        <f t="shared" si="143"/>
        <v>0</v>
      </c>
      <c r="BW52" s="3">
        <f t="shared" si="144"/>
        <v>0</v>
      </c>
      <c r="BX52" s="3">
        <f t="shared" si="145"/>
        <v>0</v>
      </c>
      <c r="BY52" s="3">
        <f t="shared" si="146"/>
        <v>0</v>
      </c>
      <c r="BZ52" s="3">
        <f t="shared" si="147"/>
        <v>0</v>
      </c>
      <c r="CA52" s="3">
        <f t="shared" si="148"/>
        <v>0</v>
      </c>
      <c r="CB52" s="3">
        <f t="shared" si="149"/>
        <v>0</v>
      </c>
      <c r="CC52" s="3">
        <f t="shared" si="150"/>
        <v>0</v>
      </c>
      <c r="CD52" s="3">
        <f t="shared" si="151"/>
        <v>0</v>
      </c>
      <c r="CE52" s="3">
        <f t="shared" si="152"/>
        <v>0</v>
      </c>
      <c r="CF52" s="3">
        <f t="shared" si="153"/>
        <v>0</v>
      </c>
      <c r="CG52" s="3">
        <f t="shared" si="88"/>
        <v>1</v>
      </c>
      <c r="CH52" s="3">
        <f t="shared" si="89"/>
        <v>0</v>
      </c>
      <c r="CI52" s="3"/>
      <c r="CJ52" s="3">
        <f t="shared" si="154"/>
        <v>13.690000000000001</v>
      </c>
      <c r="CK52" s="3">
        <f t="shared" si="155"/>
        <v>32.49</v>
      </c>
      <c r="CL52" s="3">
        <f t="shared" si="90"/>
        <v>444.78810000000004</v>
      </c>
      <c r="CM52" s="3">
        <f t="shared" si="91"/>
        <v>21.09</v>
      </c>
      <c r="CN52" s="10">
        <f t="shared" si="156"/>
        <v>3.15</v>
      </c>
      <c r="CO52" s="3">
        <f t="shared" si="157"/>
        <v>70.633500000000012</v>
      </c>
      <c r="CP52" s="3">
        <f t="shared" si="92"/>
        <v>35.316750000000006</v>
      </c>
      <c r="CQ52" s="3">
        <f t="shared" si="93"/>
        <v>0.5</v>
      </c>
      <c r="CR52" s="3">
        <f t="shared" ref="CR52:CR84" si="180">IF(K52=1,0.5,0)</f>
        <v>0.5</v>
      </c>
      <c r="CS52" s="3"/>
      <c r="CT52" s="3">
        <f t="shared" si="158"/>
        <v>19.520750000000003</v>
      </c>
      <c r="CU52" s="3">
        <f t="shared" si="94"/>
        <v>19.520750000000003</v>
      </c>
      <c r="CV52" s="3"/>
      <c r="CW52" s="3"/>
      <c r="CX52" s="3"/>
      <c r="DD52" t="e">
        <f t="shared" si="159"/>
        <v>#VALUE!</v>
      </c>
      <c r="DE52" t="e">
        <f t="shared" si="160"/>
        <v>#VALUE!</v>
      </c>
      <c r="DF52" t="e">
        <f t="shared" si="161"/>
        <v>#VALUE!</v>
      </c>
      <c r="DG52">
        <f t="shared" si="162"/>
        <v>4.2184999999999979</v>
      </c>
      <c r="DH52">
        <f t="shared" si="163"/>
        <v>34.089999999999996</v>
      </c>
      <c r="DI52">
        <f t="shared" si="164"/>
        <v>191.3156784</v>
      </c>
      <c r="DJ52">
        <f t="shared" si="165"/>
        <v>286.97351759999998</v>
      </c>
      <c r="DK52">
        <f t="shared" si="166"/>
        <v>510.17514239999997</v>
      </c>
      <c r="DL52">
        <f t="shared" si="167"/>
        <v>23.625</v>
      </c>
      <c r="DN52">
        <f t="shared" si="168"/>
        <v>765.26271359999998</v>
      </c>
      <c r="DP52">
        <f t="shared" si="169"/>
        <v>0</v>
      </c>
      <c r="DQ52">
        <f t="shared" si="170"/>
        <v>0</v>
      </c>
      <c r="DR52">
        <f t="shared" si="171"/>
        <v>0</v>
      </c>
      <c r="DU52" t="e">
        <f t="shared" si="172"/>
        <v>#VALUE!</v>
      </c>
    </row>
    <row r="53" spans="1:125" ht="17.25" x14ac:dyDescent="0.3">
      <c r="A53" s="72"/>
      <c r="B53" s="113"/>
      <c r="C53" s="28"/>
      <c r="D53" s="408">
        <v>3</v>
      </c>
      <c r="E53" s="72"/>
      <c r="F53" s="113"/>
      <c r="G53" s="113"/>
      <c r="H53" s="113"/>
      <c r="I53" s="314"/>
      <c r="J53" s="142" t="s">
        <v>147</v>
      </c>
      <c r="K53" s="213">
        <v>1</v>
      </c>
      <c r="L53" s="72"/>
      <c r="M53" s="27">
        <f t="shared" si="103"/>
        <v>0</v>
      </c>
      <c r="N53" s="118">
        <v>2.1</v>
      </c>
      <c r="O53" s="72">
        <v>2.1</v>
      </c>
      <c r="P53" s="72">
        <v>2.8</v>
      </c>
      <c r="Q53" s="72">
        <v>0.2</v>
      </c>
      <c r="R53" s="72">
        <v>0.35</v>
      </c>
      <c r="S53" s="222">
        <f t="shared" si="121"/>
        <v>12.347999999999999</v>
      </c>
      <c r="T53" s="290">
        <f t="shared" si="79"/>
        <v>4.7039999999999997</v>
      </c>
      <c r="U53" s="290">
        <f t="shared" si="80"/>
        <v>5.0259999999999998</v>
      </c>
      <c r="V53" s="290">
        <f t="shared" si="81"/>
        <v>1281.6299999999999</v>
      </c>
      <c r="W53" s="48"/>
      <c r="X53" s="250" t="s">
        <v>158</v>
      </c>
      <c r="Y53" s="14" t="str">
        <f t="shared" si="71"/>
        <v>ŽB. šachta</v>
      </c>
      <c r="Z53" s="16">
        <v>1</v>
      </c>
      <c r="AA53" s="16" t="s">
        <v>75</v>
      </c>
      <c r="AB53" s="181" t="s">
        <v>16</v>
      </c>
      <c r="AC53" s="260" t="str">
        <f t="shared" si="177"/>
        <v>Š28</v>
      </c>
      <c r="AD53" s="263">
        <f t="shared" si="72"/>
        <v>1</v>
      </c>
      <c r="AE53" s="37" t="s">
        <v>184</v>
      </c>
      <c r="AF53" s="48" t="s">
        <v>184</v>
      </c>
      <c r="AG53" s="48">
        <f t="shared" si="122"/>
        <v>30.379999999999995</v>
      </c>
      <c r="AH53" s="48">
        <f t="shared" si="123"/>
        <v>30.379999999999995</v>
      </c>
      <c r="AI53" s="24" t="s">
        <v>184</v>
      </c>
      <c r="AJ53" s="307">
        <f t="shared" si="124"/>
        <v>60.759999999999991</v>
      </c>
      <c r="AK53" s="255" t="str">
        <f t="shared" si="74"/>
        <v>Š28</v>
      </c>
      <c r="AL53" s="28" t="s">
        <v>22</v>
      </c>
      <c r="AM53" s="25">
        <f t="shared" si="125"/>
        <v>55.86</v>
      </c>
      <c r="AN53" s="56"/>
      <c r="AO53" s="251" t="s">
        <v>218</v>
      </c>
      <c r="AP53" s="194">
        <f t="shared" si="126"/>
        <v>0</v>
      </c>
      <c r="AQ53" s="208"/>
      <c r="AR53" s="203">
        <f t="shared" si="127"/>
        <v>0</v>
      </c>
      <c r="AS53" s="189"/>
      <c r="AT53" s="198">
        <f t="shared" si="178"/>
        <v>0</v>
      </c>
      <c r="AU53" s="199">
        <f t="shared" si="128"/>
        <v>13.067999999999998</v>
      </c>
      <c r="AV53" s="222">
        <f t="shared" si="129"/>
        <v>1.6334999999999997</v>
      </c>
      <c r="AW53" s="118"/>
      <c r="AX53" s="103">
        <f t="shared" si="179"/>
        <v>1.2</v>
      </c>
      <c r="AY53" s="192">
        <f t="shared" si="130"/>
        <v>10.889999999999999</v>
      </c>
      <c r="AZ53" s="192">
        <v>0.75</v>
      </c>
      <c r="BA53" s="192">
        <f t="shared" si="131"/>
        <v>28.177874999999993</v>
      </c>
      <c r="BB53" s="113">
        <f t="shared" si="132"/>
        <v>0</v>
      </c>
      <c r="BC53" s="113">
        <f t="shared" si="133"/>
        <v>18</v>
      </c>
      <c r="BD53" s="270">
        <f t="shared" si="173"/>
        <v>0</v>
      </c>
      <c r="BE53" s="228">
        <f t="shared" si="134"/>
        <v>16.510499999999993</v>
      </c>
      <c r="BF53" s="268">
        <v>2</v>
      </c>
      <c r="BG53" s="268">
        <f t="shared" si="175"/>
        <v>2.6</v>
      </c>
      <c r="BH53" s="118">
        <v>6</v>
      </c>
      <c r="BI53" s="72">
        <f t="shared" si="176"/>
        <v>180</v>
      </c>
      <c r="BJ53" s="256" t="str">
        <f t="shared" si="78"/>
        <v>Š28</v>
      </c>
      <c r="BK53" s="230">
        <f t="shared" si="83"/>
        <v>7.8000000000000007</v>
      </c>
      <c r="BL53" s="3">
        <f t="shared" si="86"/>
        <v>1</v>
      </c>
      <c r="BM53" s="3">
        <f t="shared" si="87"/>
        <v>1</v>
      </c>
      <c r="BN53" s="10">
        <f t="shared" si="136"/>
        <v>1</v>
      </c>
      <c r="BO53" s="3">
        <f t="shared" si="137"/>
        <v>0</v>
      </c>
      <c r="BP53" s="3">
        <f t="shared" si="138"/>
        <v>0</v>
      </c>
      <c r="BQ53" s="3">
        <f t="shared" si="139"/>
        <v>1</v>
      </c>
      <c r="BR53" s="3">
        <f t="shared" si="140"/>
        <v>0</v>
      </c>
      <c r="BS53" s="3">
        <f t="shared" si="141"/>
        <v>0</v>
      </c>
      <c r="BT53" s="3"/>
      <c r="BU53" s="3">
        <f t="shared" si="142"/>
        <v>0</v>
      </c>
      <c r="BV53" s="3">
        <f t="shared" si="143"/>
        <v>0</v>
      </c>
      <c r="BW53" s="3">
        <f t="shared" si="144"/>
        <v>0</v>
      </c>
      <c r="BX53" s="3">
        <f t="shared" si="145"/>
        <v>0</v>
      </c>
      <c r="BY53" s="3">
        <f t="shared" si="146"/>
        <v>0</v>
      </c>
      <c r="BZ53" s="3">
        <f t="shared" si="147"/>
        <v>0</v>
      </c>
      <c r="CA53" s="3">
        <f t="shared" si="148"/>
        <v>0</v>
      </c>
      <c r="CB53" s="3">
        <f t="shared" si="149"/>
        <v>0</v>
      </c>
      <c r="CC53" s="3">
        <f t="shared" si="150"/>
        <v>0</v>
      </c>
      <c r="CD53" s="3">
        <f t="shared" si="151"/>
        <v>0</v>
      </c>
      <c r="CE53" s="3">
        <f t="shared" si="152"/>
        <v>0</v>
      </c>
      <c r="CF53" s="3">
        <f t="shared" si="153"/>
        <v>0</v>
      </c>
      <c r="CG53" s="3">
        <f t="shared" si="88"/>
        <v>1</v>
      </c>
      <c r="CH53" s="3">
        <f t="shared" si="89"/>
        <v>0</v>
      </c>
      <c r="CI53" s="3"/>
      <c r="CJ53" s="3">
        <f t="shared" si="154"/>
        <v>13.690000000000001</v>
      </c>
      <c r="CK53" s="3">
        <f t="shared" si="155"/>
        <v>32.49</v>
      </c>
      <c r="CL53" s="3">
        <f t="shared" si="90"/>
        <v>444.78810000000004</v>
      </c>
      <c r="CM53" s="3">
        <f t="shared" si="91"/>
        <v>21.09</v>
      </c>
      <c r="CN53" s="10">
        <f t="shared" si="156"/>
        <v>3.15</v>
      </c>
      <c r="CO53" s="3">
        <f t="shared" si="157"/>
        <v>70.633500000000012</v>
      </c>
      <c r="CP53" s="3">
        <f t="shared" si="92"/>
        <v>35.316750000000006</v>
      </c>
      <c r="CQ53" s="3">
        <f t="shared" si="93"/>
        <v>0.5</v>
      </c>
      <c r="CR53" s="3">
        <f t="shared" si="180"/>
        <v>0.5</v>
      </c>
      <c r="CS53" s="3"/>
      <c r="CT53" s="3">
        <f t="shared" si="158"/>
        <v>19.520750000000003</v>
      </c>
      <c r="CU53" s="3">
        <f t="shared" si="94"/>
        <v>19.520750000000003</v>
      </c>
      <c r="CV53" s="3"/>
      <c r="CW53" s="3"/>
      <c r="CX53" s="3"/>
    </row>
    <row r="54" spans="1:125" ht="17.25" x14ac:dyDescent="0.3">
      <c r="A54" s="72">
        <f t="shared" ref="A54:A66" si="181">N54*O54</f>
        <v>4.41</v>
      </c>
      <c r="B54" s="113"/>
      <c r="C54" s="28"/>
      <c r="D54" s="408">
        <f>2+3</f>
        <v>5</v>
      </c>
      <c r="E54" s="72"/>
      <c r="F54" s="113"/>
      <c r="G54" s="113"/>
      <c r="H54" s="113"/>
      <c r="I54" s="314"/>
      <c r="J54" s="142" t="s">
        <v>148</v>
      </c>
      <c r="K54" s="213">
        <v>1</v>
      </c>
      <c r="L54" s="72"/>
      <c r="M54" s="27">
        <f t="shared" si="103"/>
        <v>0</v>
      </c>
      <c r="N54" s="118">
        <v>2.1</v>
      </c>
      <c r="O54" s="72">
        <v>2.1</v>
      </c>
      <c r="P54" s="72">
        <v>2.8</v>
      </c>
      <c r="Q54" s="72">
        <v>0.2</v>
      </c>
      <c r="R54" s="72">
        <v>0.35</v>
      </c>
      <c r="S54" s="222">
        <f t="shared" si="121"/>
        <v>12.347999999999999</v>
      </c>
      <c r="T54" s="290">
        <f t="shared" si="79"/>
        <v>4.7039999999999997</v>
      </c>
      <c r="U54" s="290">
        <f t="shared" si="80"/>
        <v>5.0259999999999998</v>
      </c>
      <c r="V54" s="290">
        <f t="shared" si="81"/>
        <v>1281.6299999999999</v>
      </c>
      <c r="W54" s="48"/>
      <c r="X54" s="250" t="s">
        <v>158</v>
      </c>
      <c r="Y54" s="14" t="str">
        <f t="shared" si="71"/>
        <v>ŽB. šachta</v>
      </c>
      <c r="Z54" s="16">
        <v>1</v>
      </c>
      <c r="AA54" s="16" t="s">
        <v>75</v>
      </c>
      <c r="AB54" s="181" t="s">
        <v>247</v>
      </c>
      <c r="AC54" s="260" t="str">
        <f t="shared" si="177"/>
        <v>Š29</v>
      </c>
      <c r="AD54" s="263">
        <f t="shared" si="72"/>
        <v>1</v>
      </c>
      <c r="AE54" s="37" t="s">
        <v>184</v>
      </c>
      <c r="AF54" s="48" t="s">
        <v>184</v>
      </c>
      <c r="AG54" s="48">
        <f t="shared" si="122"/>
        <v>30.379999999999995</v>
      </c>
      <c r="AH54" s="48">
        <f t="shared" si="123"/>
        <v>30.379999999999995</v>
      </c>
      <c r="AI54" s="24" t="s">
        <v>184</v>
      </c>
      <c r="AJ54" s="307">
        <f t="shared" si="124"/>
        <v>60.759999999999991</v>
      </c>
      <c r="AK54" s="255" t="str">
        <f t="shared" si="74"/>
        <v>Š29</v>
      </c>
      <c r="AL54" s="28" t="s">
        <v>22</v>
      </c>
      <c r="AM54" s="25">
        <f t="shared" si="125"/>
        <v>55.86</v>
      </c>
      <c r="AN54" s="56">
        <f t="shared" ref="AN54:AN66" si="182">AY54</f>
        <v>10.889999999999999</v>
      </c>
      <c r="AO54" s="251" t="s">
        <v>218</v>
      </c>
      <c r="AP54" s="194">
        <f t="shared" si="126"/>
        <v>0</v>
      </c>
      <c r="AQ54" s="208"/>
      <c r="AR54" s="203">
        <f t="shared" si="127"/>
        <v>0</v>
      </c>
      <c r="AS54" s="189"/>
      <c r="AT54" s="198">
        <f t="shared" si="178"/>
        <v>0</v>
      </c>
      <c r="AU54" s="199">
        <f t="shared" si="128"/>
        <v>13.067999999999998</v>
      </c>
      <c r="AV54" s="222">
        <f t="shared" si="129"/>
        <v>1.6334999999999997</v>
      </c>
      <c r="AW54" s="118"/>
      <c r="AX54" s="103">
        <f t="shared" si="179"/>
        <v>1.2</v>
      </c>
      <c r="AY54" s="192">
        <f t="shared" si="130"/>
        <v>10.889999999999999</v>
      </c>
      <c r="AZ54" s="192">
        <v>1</v>
      </c>
      <c r="BA54" s="192">
        <f t="shared" si="131"/>
        <v>37.570499999999996</v>
      </c>
      <c r="BB54" s="113">
        <f t="shared" si="132"/>
        <v>0</v>
      </c>
      <c r="BC54" s="113">
        <f t="shared" si="133"/>
        <v>18</v>
      </c>
      <c r="BD54" s="270">
        <f t="shared" si="173"/>
        <v>0</v>
      </c>
      <c r="BE54" s="228">
        <f t="shared" si="134"/>
        <v>16.510499999999993</v>
      </c>
      <c r="BF54" s="268">
        <v>2</v>
      </c>
      <c r="BG54" s="268">
        <f t="shared" si="175"/>
        <v>2.6</v>
      </c>
      <c r="BH54" s="118">
        <v>6</v>
      </c>
      <c r="BI54" s="72">
        <f t="shared" si="176"/>
        <v>180</v>
      </c>
      <c r="BJ54" s="256" t="str">
        <f t="shared" si="78"/>
        <v>Š29</v>
      </c>
      <c r="BK54" s="230">
        <f t="shared" si="83"/>
        <v>7.8000000000000007</v>
      </c>
      <c r="BL54" s="3">
        <f t="shared" si="86"/>
        <v>1</v>
      </c>
      <c r="BM54" s="3">
        <f t="shared" si="87"/>
        <v>1</v>
      </c>
      <c r="BN54" s="10">
        <f t="shared" si="136"/>
        <v>0</v>
      </c>
      <c r="BO54" s="3">
        <f t="shared" si="137"/>
        <v>0</v>
      </c>
      <c r="BP54" s="3">
        <f t="shared" si="138"/>
        <v>0</v>
      </c>
      <c r="BQ54" s="3">
        <f t="shared" si="139"/>
        <v>1</v>
      </c>
      <c r="BR54" s="3">
        <f t="shared" si="140"/>
        <v>0</v>
      </c>
      <c r="BS54" s="3">
        <f t="shared" si="141"/>
        <v>0</v>
      </c>
      <c r="BT54" s="3"/>
      <c r="BU54" s="3">
        <f t="shared" si="142"/>
        <v>1</v>
      </c>
      <c r="BV54" s="3">
        <f t="shared" si="143"/>
        <v>0</v>
      </c>
      <c r="BW54" s="3">
        <f t="shared" si="144"/>
        <v>0</v>
      </c>
      <c r="BX54" s="3">
        <f t="shared" si="145"/>
        <v>0</v>
      </c>
      <c r="BY54" s="3">
        <f t="shared" si="146"/>
        <v>0</v>
      </c>
      <c r="BZ54" s="3">
        <f t="shared" si="147"/>
        <v>0</v>
      </c>
      <c r="CA54" s="3">
        <f t="shared" si="148"/>
        <v>0</v>
      </c>
      <c r="CB54" s="3">
        <f t="shared" si="149"/>
        <v>0</v>
      </c>
      <c r="CC54" s="3">
        <f t="shared" si="150"/>
        <v>0</v>
      </c>
      <c r="CD54" s="3">
        <f t="shared" si="151"/>
        <v>0</v>
      </c>
      <c r="CE54" s="3">
        <f t="shared" si="152"/>
        <v>0</v>
      </c>
      <c r="CF54" s="3">
        <f t="shared" si="153"/>
        <v>0</v>
      </c>
      <c r="CG54" s="3">
        <f t="shared" si="88"/>
        <v>1</v>
      </c>
      <c r="CH54" s="3">
        <f t="shared" si="89"/>
        <v>0</v>
      </c>
      <c r="CI54" s="3"/>
      <c r="CJ54" s="3">
        <f t="shared" si="154"/>
        <v>13.690000000000001</v>
      </c>
      <c r="CK54" s="3">
        <f t="shared" si="155"/>
        <v>32.49</v>
      </c>
      <c r="CL54" s="3">
        <f t="shared" si="90"/>
        <v>444.78810000000004</v>
      </c>
      <c r="CM54" s="3">
        <f t="shared" si="91"/>
        <v>21.09</v>
      </c>
      <c r="CN54" s="10">
        <f t="shared" si="156"/>
        <v>3.15</v>
      </c>
      <c r="CO54" s="3">
        <f t="shared" si="157"/>
        <v>70.633500000000012</v>
      </c>
      <c r="CP54" s="3">
        <f t="shared" si="92"/>
        <v>35.316750000000006</v>
      </c>
      <c r="CQ54" s="3">
        <f t="shared" si="93"/>
        <v>0.5</v>
      </c>
      <c r="CR54" s="3">
        <f t="shared" si="180"/>
        <v>0.5</v>
      </c>
      <c r="CS54" s="3"/>
      <c r="CT54" s="3">
        <f t="shared" si="158"/>
        <v>19.520750000000003</v>
      </c>
      <c r="CU54" s="3">
        <f t="shared" si="94"/>
        <v>19.520750000000003</v>
      </c>
      <c r="CV54" s="3"/>
      <c r="CW54" s="3"/>
      <c r="CX54" s="3"/>
      <c r="DD54" t="e">
        <f t="shared" ref="DD54:DD66" si="183">(N54+0.5+AE54/1.5)*(O54+0.9+AE54/1.5)*(P54+0.1-AE54)</f>
        <v>#VALUE!</v>
      </c>
      <c r="DE54" t="e">
        <f t="shared" ref="DE54:DE66" si="184">(N54+0.5+(0.35*AE54))*(O54+0.9+(0.35*AE54))*AE54</f>
        <v>#VALUE!</v>
      </c>
      <c r="DF54" t="e">
        <f t="shared" ref="DF54:DF66" si="185">K54*((2*N54*(P54-AC54))+(2*O54*(P54-AC54))+(N54+0.25)*(O54+0.25))</f>
        <v>#VALUE!</v>
      </c>
      <c r="DG54">
        <f t="shared" ref="DG54:DG66" si="186">((N54*O54*(P54-R54)-((N54-Q54*2)*(O54-Q54*2)*(P54-Q54*2))+((R54*1.1*1.4)-(R54*0.6*0.9)))*K54)</f>
        <v>4.2184999999999979</v>
      </c>
      <c r="DH54">
        <f t="shared" ref="DH54:DH66" si="187">(2*N54*O54+2*N54*P54+2*O54*P54)+(2*R54*1.1+2*R54*1.4)</f>
        <v>34.089999999999996</v>
      </c>
      <c r="DI54">
        <f t="shared" ref="DI54:DI66" si="188">2*(2*N54*O54+2*N54*P54+2*O54*P54)*7850*2*(0.003*0.003*3.14)*(1000/150)</f>
        <v>191.3156784</v>
      </c>
      <c r="DJ54">
        <f t="shared" ref="DJ54:DJ66" si="189">2*(2*N54*O54+2*N54*P54+2*O54*P54)*7850*2*(0.003*0.003*3.14)*(1000/100)</f>
        <v>286.97351759999998</v>
      </c>
      <c r="DK54">
        <f t="shared" ref="DK54:DK66" si="190">2*(2*N54*O54+2*N54*P54+2*O54*P54)*7850*2*(0.004*0.004*3.14)*(1000/100)</f>
        <v>510.17514239999997</v>
      </c>
      <c r="DL54">
        <f t="shared" ref="DL54:DL66" si="191">(N54+1.5)*(P54+R54)+(O54+1.8)*(P54+R54)</f>
        <v>23.625</v>
      </c>
      <c r="DN54">
        <f t="shared" ref="DN54:DN66" si="192">2*(2*N54*O54+2*N54*P54+2*O54*P54)*7850*2*(0.006*0.006*3.14)*(1000/150)</f>
        <v>765.26271359999998</v>
      </c>
      <c r="DP54">
        <f t="shared" ref="DP54:DP66" si="193">IF(K54=0,0,(N54+0.9)*(O54+1.1))*IF(AI54=1,7850*(0.003*0.003*3.14)*(1000/150),0)</f>
        <v>0</v>
      </c>
      <c r="DQ54">
        <f t="shared" ref="DQ54:DQ66" si="194">IF(K54=0,0,(N54+0.9)*(O54+1.1))*IF(AI54=2,7850*(0.003*0.003*3.14)*(1000/100),0)</f>
        <v>0</v>
      </c>
      <c r="DR54">
        <f t="shared" ref="DR54:DR66" si="195">IF(K54=0,0,(N54+0.9)*(O54+1.1))*IF(AI54=3,7850*(0.004*0.004*3.14)*(1000/100),0)</f>
        <v>0</v>
      </c>
      <c r="DU54" t="e">
        <f t="shared" ref="DU54:DU66" si="196">(N54+0.6+0.6+(0.25*AE54))*(O54+0.6+0.6+(0.25*AE54))*AE54</f>
        <v>#VALUE!</v>
      </c>
    </row>
    <row r="55" spans="1:125" ht="17.25" x14ac:dyDescent="0.3">
      <c r="A55" s="72">
        <f t="shared" si="181"/>
        <v>5.25</v>
      </c>
      <c r="B55" s="113"/>
      <c r="C55" s="28"/>
      <c r="D55" s="118">
        <v>3</v>
      </c>
      <c r="E55" s="72"/>
      <c r="F55" s="113"/>
      <c r="G55" s="113"/>
      <c r="H55" s="113"/>
      <c r="I55" s="314"/>
      <c r="J55" s="142" t="s">
        <v>149</v>
      </c>
      <c r="K55" s="213">
        <v>1</v>
      </c>
      <c r="L55" s="72"/>
      <c r="M55" s="27">
        <f t="shared" si="103"/>
        <v>0</v>
      </c>
      <c r="N55" s="118">
        <v>2.5</v>
      </c>
      <c r="O55" s="72">
        <v>2.1</v>
      </c>
      <c r="P55" s="72">
        <v>2.8</v>
      </c>
      <c r="Q55" s="72">
        <v>0.2</v>
      </c>
      <c r="R55" s="72">
        <v>0.35</v>
      </c>
      <c r="S55" s="222">
        <f t="shared" si="121"/>
        <v>14.7</v>
      </c>
      <c r="T55" s="290">
        <f t="shared" si="79"/>
        <v>5.1520000000000001</v>
      </c>
      <c r="U55" s="290">
        <f t="shared" si="80"/>
        <v>5.4740000000000002</v>
      </c>
      <c r="V55" s="290">
        <f t="shared" si="81"/>
        <v>1395.8700000000001</v>
      </c>
      <c r="W55" s="48"/>
      <c r="X55" s="250" t="s">
        <v>158</v>
      </c>
      <c r="Y55" s="14" t="str">
        <f t="shared" ref="Y55:Y82" si="197">IF(M55=1,"pro pl. šachtu",IF(K55=1,"ŽB. šachta",0))</f>
        <v>ŽB. šachta</v>
      </c>
      <c r="Z55" s="16">
        <v>1</v>
      </c>
      <c r="AA55" s="16" t="s">
        <v>75</v>
      </c>
      <c r="AB55" s="181" t="s">
        <v>247</v>
      </c>
      <c r="AC55" s="260" t="str">
        <f t="shared" si="177"/>
        <v>Š30</v>
      </c>
      <c r="AD55" s="263">
        <f t="shared" ref="AD55:AD73" si="198">K55</f>
        <v>1</v>
      </c>
      <c r="AE55" s="37" t="s">
        <v>184</v>
      </c>
      <c r="AF55" s="48" t="s">
        <v>184</v>
      </c>
      <c r="AG55" s="48">
        <f t="shared" si="122"/>
        <v>32.86</v>
      </c>
      <c r="AH55" s="48">
        <f t="shared" si="123"/>
        <v>32.86</v>
      </c>
      <c r="AI55" s="24" t="s">
        <v>184</v>
      </c>
      <c r="AJ55" s="307">
        <f t="shared" si="124"/>
        <v>65.72</v>
      </c>
      <c r="AK55" s="255" t="str">
        <f t="shared" si="74"/>
        <v>Š30</v>
      </c>
      <c r="AL55" s="28" t="s">
        <v>22</v>
      </c>
      <c r="AM55" s="25">
        <f t="shared" si="125"/>
        <v>62.019999999999996</v>
      </c>
      <c r="AN55" s="56">
        <f t="shared" si="182"/>
        <v>12.209999999999999</v>
      </c>
      <c r="AO55" s="251" t="s">
        <v>218</v>
      </c>
      <c r="AP55" s="194">
        <f t="shared" si="126"/>
        <v>0</v>
      </c>
      <c r="AQ55" s="208"/>
      <c r="AR55" s="203">
        <f t="shared" si="127"/>
        <v>0</v>
      </c>
      <c r="AS55" s="189"/>
      <c r="AT55" s="198">
        <f t="shared" si="178"/>
        <v>0</v>
      </c>
      <c r="AU55" s="199">
        <f t="shared" si="128"/>
        <v>14.651999999999997</v>
      </c>
      <c r="AV55" s="222">
        <f t="shared" si="129"/>
        <v>1.8314999999999997</v>
      </c>
      <c r="AW55" s="118"/>
      <c r="AX55" s="103">
        <f t="shared" si="179"/>
        <v>1.2</v>
      </c>
      <c r="AY55" s="192">
        <f t="shared" si="130"/>
        <v>12.209999999999999</v>
      </c>
      <c r="AZ55" s="192">
        <v>1</v>
      </c>
      <c r="BA55" s="192">
        <f t="shared" si="131"/>
        <v>42.124499999999991</v>
      </c>
      <c r="BB55" s="113">
        <f t="shared" si="132"/>
        <v>0</v>
      </c>
      <c r="BC55" s="113">
        <f t="shared" si="133"/>
        <v>18.8</v>
      </c>
      <c r="BD55" s="270">
        <f t="shared" si="173"/>
        <v>0</v>
      </c>
      <c r="BE55" s="228">
        <f t="shared" si="134"/>
        <v>17.656499999999998</v>
      </c>
      <c r="BF55" s="268">
        <v>2</v>
      </c>
      <c r="BG55" s="268">
        <f t="shared" si="175"/>
        <v>3.4</v>
      </c>
      <c r="BH55" s="118">
        <v>6</v>
      </c>
      <c r="BI55" s="72">
        <f t="shared" si="176"/>
        <v>180</v>
      </c>
      <c r="BJ55" s="256" t="str">
        <f t="shared" si="78"/>
        <v>Š30</v>
      </c>
      <c r="BK55" s="230">
        <f t="shared" si="83"/>
        <v>10.199999999999999</v>
      </c>
      <c r="BL55" s="3">
        <f t="shared" si="86"/>
        <v>1</v>
      </c>
      <c r="BM55" s="3">
        <f t="shared" si="87"/>
        <v>1</v>
      </c>
      <c r="BN55" s="10">
        <f t="shared" si="136"/>
        <v>0</v>
      </c>
      <c r="BO55" s="3">
        <f t="shared" si="137"/>
        <v>0</v>
      </c>
      <c r="BP55" s="3">
        <f t="shared" si="138"/>
        <v>0</v>
      </c>
      <c r="BQ55" s="3">
        <f t="shared" si="139"/>
        <v>1</v>
      </c>
      <c r="BR55" s="3">
        <f t="shared" si="140"/>
        <v>0</v>
      </c>
      <c r="BS55" s="3">
        <f t="shared" si="141"/>
        <v>0</v>
      </c>
      <c r="BT55" s="3"/>
      <c r="BU55" s="3">
        <f t="shared" si="142"/>
        <v>0</v>
      </c>
      <c r="BV55" s="3">
        <f t="shared" si="143"/>
        <v>1</v>
      </c>
      <c r="BW55" s="3">
        <f t="shared" si="144"/>
        <v>0</v>
      </c>
      <c r="BX55" s="3">
        <f t="shared" si="145"/>
        <v>0</v>
      </c>
      <c r="BY55" s="3">
        <f t="shared" si="146"/>
        <v>0</v>
      </c>
      <c r="BZ55" s="3">
        <f t="shared" si="147"/>
        <v>0</v>
      </c>
      <c r="CA55" s="3">
        <f t="shared" si="148"/>
        <v>0</v>
      </c>
      <c r="CB55" s="3">
        <f t="shared" si="149"/>
        <v>0</v>
      </c>
      <c r="CC55" s="3">
        <f t="shared" si="150"/>
        <v>0</v>
      </c>
      <c r="CD55" s="3">
        <f t="shared" si="151"/>
        <v>0</v>
      </c>
      <c r="CE55" s="3">
        <f t="shared" si="152"/>
        <v>0</v>
      </c>
      <c r="CF55" s="3">
        <f t="shared" si="153"/>
        <v>0</v>
      </c>
      <c r="CG55" s="3">
        <f t="shared" si="88"/>
        <v>1</v>
      </c>
      <c r="CH55" s="3">
        <f t="shared" si="89"/>
        <v>0</v>
      </c>
      <c r="CI55" s="3"/>
      <c r="CJ55" s="3">
        <f t="shared" si="154"/>
        <v>15.17</v>
      </c>
      <c r="CK55" s="3">
        <f t="shared" si="155"/>
        <v>34.769999999999996</v>
      </c>
      <c r="CL55" s="3">
        <f t="shared" si="90"/>
        <v>527.46089999999992</v>
      </c>
      <c r="CM55" s="3">
        <f t="shared" si="91"/>
        <v>22.966516932264675</v>
      </c>
      <c r="CN55" s="10">
        <f t="shared" si="156"/>
        <v>3.15</v>
      </c>
      <c r="CO55" s="3">
        <f t="shared" si="157"/>
        <v>76.551842778877912</v>
      </c>
      <c r="CP55" s="3">
        <f t="shared" si="92"/>
        <v>38.275921389438956</v>
      </c>
      <c r="CQ55" s="3">
        <f t="shared" si="93"/>
        <v>0.5</v>
      </c>
      <c r="CR55" s="3">
        <f t="shared" si="180"/>
        <v>0.5</v>
      </c>
      <c r="CS55" s="3"/>
      <c r="CT55" s="3">
        <f t="shared" si="158"/>
        <v>19.811921389438957</v>
      </c>
      <c r="CU55" s="3">
        <f t="shared" si="94"/>
        <v>19.811921389438957</v>
      </c>
      <c r="CV55" s="3"/>
      <c r="CW55" s="3"/>
      <c r="CX55" s="3"/>
      <c r="DD55" t="e">
        <f t="shared" si="183"/>
        <v>#VALUE!</v>
      </c>
      <c r="DE55" t="e">
        <f t="shared" si="184"/>
        <v>#VALUE!</v>
      </c>
      <c r="DF55" t="e">
        <f t="shared" si="185"/>
        <v>#VALUE!</v>
      </c>
      <c r="DG55">
        <f t="shared" si="186"/>
        <v>4.6444999999999972</v>
      </c>
      <c r="DH55">
        <f t="shared" si="187"/>
        <v>38.01</v>
      </c>
      <c r="DI55">
        <f t="shared" si="188"/>
        <v>214.50545760000003</v>
      </c>
      <c r="DJ55">
        <f t="shared" si="189"/>
        <v>321.7581864</v>
      </c>
      <c r="DK55">
        <f t="shared" si="190"/>
        <v>572.0145536</v>
      </c>
      <c r="DL55">
        <f t="shared" si="191"/>
        <v>24.884999999999998</v>
      </c>
      <c r="DN55">
        <f t="shared" si="192"/>
        <v>858.02183040000011</v>
      </c>
      <c r="DP55">
        <f t="shared" si="193"/>
        <v>0</v>
      </c>
      <c r="DQ55">
        <f t="shared" si="194"/>
        <v>0</v>
      </c>
      <c r="DR55">
        <f t="shared" si="195"/>
        <v>0</v>
      </c>
      <c r="DU55" t="e">
        <f t="shared" si="196"/>
        <v>#VALUE!</v>
      </c>
    </row>
    <row r="56" spans="1:125" ht="17.25" x14ac:dyDescent="0.3">
      <c r="A56" s="72">
        <f t="shared" si="181"/>
        <v>5.25</v>
      </c>
      <c r="B56" s="113"/>
      <c r="C56" s="28"/>
      <c r="D56" s="118">
        <v>6</v>
      </c>
      <c r="E56" s="72"/>
      <c r="F56" s="113"/>
      <c r="G56" s="113"/>
      <c r="H56" s="113">
        <v>2</v>
      </c>
      <c r="I56" s="314"/>
      <c r="J56" s="142" t="s">
        <v>150</v>
      </c>
      <c r="K56" s="213">
        <v>1</v>
      </c>
      <c r="L56" s="72"/>
      <c r="M56" s="27">
        <f t="shared" si="103"/>
        <v>0</v>
      </c>
      <c r="N56" s="118">
        <v>2.5</v>
      </c>
      <c r="O56" s="72">
        <v>2.1</v>
      </c>
      <c r="P56" s="72">
        <v>2.8</v>
      </c>
      <c r="Q56" s="72">
        <v>0.2</v>
      </c>
      <c r="R56" s="72">
        <v>0.35</v>
      </c>
      <c r="S56" s="222">
        <f t="shared" si="121"/>
        <v>14.7</v>
      </c>
      <c r="T56" s="290">
        <f t="shared" si="79"/>
        <v>5.1520000000000001</v>
      </c>
      <c r="U56" s="290">
        <f t="shared" si="80"/>
        <v>5.4740000000000002</v>
      </c>
      <c r="V56" s="290">
        <f t="shared" si="81"/>
        <v>1395.8700000000001</v>
      </c>
      <c r="W56" s="48"/>
      <c r="X56" s="250" t="s">
        <v>158</v>
      </c>
      <c r="Y56" s="14" t="str">
        <f t="shared" si="197"/>
        <v>ŽB. šachta</v>
      </c>
      <c r="Z56" s="16">
        <v>1</v>
      </c>
      <c r="AA56" s="16" t="s">
        <v>75</v>
      </c>
      <c r="AB56" s="181" t="s">
        <v>247</v>
      </c>
      <c r="AC56" s="260" t="str">
        <f t="shared" si="177"/>
        <v>Š31</v>
      </c>
      <c r="AD56" s="263">
        <f t="shared" si="198"/>
        <v>1</v>
      </c>
      <c r="AE56" s="37" t="s">
        <v>184</v>
      </c>
      <c r="AF56" s="48" t="s">
        <v>184</v>
      </c>
      <c r="AG56" s="48">
        <f t="shared" si="122"/>
        <v>32.86</v>
      </c>
      <c r="AH56" s="48">
        <f t="shared" si="123"/>
        <v>32.86</v>
      </c>
      <c r="AI56" s="24" t="s">
        <v>184</v>
      </c>
      <c r="AJ56" s="307">
        <f t="shared" si="124"/>
        <v>65.72</v>
      </c>
      <c r="AK56" s="255" t="str">
        <f t="shared" si="74"/>
        <v>Š31</v>
      </c>
      <c r="AL56" s="28" t="s">
        <v>22</v>
      </c>
      <c r="AM56" s="25">
        <f t="shared" si="125"/>
        <v>62.019999999999996</v>
      </c>
      <c r="AN56" s="56">
        <f t="shared" si="182"/>
        <v>12.209999999999999</v>
      </c>
      <c r="AO56" s="251" t="s">
        <v>218</v>
      </c>
      <c r="AP56" s="194">
        <f t="shared" si="126"/>
        <v>0</v>
      </c>
      <c r="AQ56" s="208"/>
      <c r="AR56" s="203">
        <f t="shared" si="127"/>
        <v>0</v>
      </c>
      <c r="AS56" s="189"/>
      <c r="AT56" s="198">
        <f t="shared" si="178"/>
        <v>0</v>
      </c>
      <c r="AU56" s="199">
        <f t="shared" si="128"/>
        <v>14.651999999999997</v>
      </c>
      <c r="AV56" s="222">
        <f t="shared" si="129"/>
        <v>1.8314999999999997</v>
      </c>
      <c r="AW56" s="118"/>
      <c r="AX56" s="103">
        <f t="shared" si="179"/>
        <v>1.2</v>
      </c>
      <c r="AY56" s="192">
        <f t="shared" si="130"/>
        <v>12.209999999999999</v>
      </c>
      <c r="AZ56" s="192">
        <v>1</v>
      </c>
      <c r="BA56" s="192">
        <f t="shared" si="131"/>
        <v>42.124499999999991</v>
      </c>
      <c r="BB56" s="113">
        <f t="shared" si="132"/>
        <v>0</v>
      </c>
      <c r="BC56" s="113">
        <f t="shared" si="133"/>
        <v>18.8</v>
      </c>
      <c r="BD56" s="270">
        <f t="shared" si="173"/>
        <v>0</v>
      </c>
      <c r="BE56" s="228">
        <f t="shared" si="134"/>
        <v>17.656499999999998</v>
      </c>
      <c r="BF56" s="268">
        <v>2</v>
      </c>
      <c r="BG56" s="268">
        <f t="shared" si="175"/>
        <v>3.4</v>
      </c>
      <c r="BH56" s="118">
        <v>5</v>
      </c>
      <c r="BI56" s="72">
        <f t="shared" si="176"/>
        <v>150</v>
      </c>
      <c r="BJ56" s="256" t="str">
        <f t="shared" si="78"/>
        <v>Š31</v>
      </c>
      <c r="BK56" s="230">
        <f t="shared" si="83"/>
        <v>8.5</v>
      </c>
      <c r="BL56" s="3">
        <f t="shared" si="86"/>
        <v>1</v>
      </c>
      <c r="BM56" s="3">
        <f t="shared" si="87"/>
        <v>1</v>
      </c>
      <c r="BN56" s="10">
        <f t="shared" si="136"/>
        <v>0</v>
      </c>
      <c r="BO56" s="3">
        <f t="shared" si="137"/>
        <v>0</v>
      </c>
      <c r="BP56" s="3">
        <f t="shared" si="138"/>
        <v>0</v>
      </c>
      <c r="BQ56" s="3">
        <f t="shared" si="139"/>
        <v>1</v>
      </c>
      <c r="BR56" s="3">
        <f t="shared" si="140"/>
        <v>0</v>
      </c>
      <c r="BS56" s="3">
        <f t="shared" si="141"/>
        <v>0</v>
      </c>
      <c r="BT56" s="3"/>
      <c r="BU56" s="3">
        <f t="shared" si="142"/>
        <v>0</v>
      </c>
      <c r="BV56" s="3">
        <f t="shared" si="143"/>
        <v>1</v>
      </c>
      <c r="BW56" s="3">
        <f t="shared" si="144"/>
        <v>0</v>
      </c>
      <c r="BX56" s="3">
        <f t="shared" si="145"/>
        <v>0</v>
      </c>
      <c r="BY56" s="3">
        <f t="shared" si="146"/>
        <v>0</v>
      </c>
      <c r="BZ56" s="3">
        <f t="shared" si="147"/>
        <v>0</v>
      </c>
      <c r="CA56" s="3">
        <f t="shared" si="148"/>
        <v>0</v>
      </c>
      <c r="CB56" s="3">
        <f t="shared" si="149"/>
        <v>0</v>
      </c>
      <c r="CC56" s="3">
        <f t="shared" si="150"/>
        <v>0</v>
      </c>
      <c r="CD56" s="3">
        <f t="shared" si="151"/>
        <v>0</v>
      </c>
      <c r="CE56" s="3">
        <f t="shared" si="152"/>
        <v>0</v>
      </c>
      <c r="CF56" s="3">
        <f t="shared" si="153"/>
        <v>0</v>
      </c>
      <c r="CG56" s="3">
        <f t="shared" si="88"/>
        <v>1</v>
      </c>
      <c r="CH56" s="3">
        <f t="shared" si="89"/>
        <v>0</v>
      </c>
      <c r="CI56" s="3"/>
      <c r="CJ56" s="3">
        <f t="shared" si="154"/>
        <v>15.17</v>
      </c>
      <c r="CK56" s="3">
        <f t="shared" si="155"/>
        <v>34.769999999999996</v>
      </c>
      <c r="CL56" s="3">
        <f t="shared" si="90"/>
        <v>527.46089999999992</v>
      </c>
      <c r="CM56" s="3">
        <f t="shared" si="91"/>
        <v>22.966516932264675</v>
      </c>
      <c r="CN56" s="10">
        <f t="shared" si="156"/>
        <v>3.15</v>
      </c>
      <c r="CO56" s="3">
        <f t="shared" si="157"/>
        <v>76.551842778877912</v>
      </c>
      <c r="CP56" s="3">
        <f t="shared" si="92"/>
        <v>38.275921389438956</v>
      </c>
      <c r="CQ56" s="3">
        <f t="shared" si="93"/>
        <v>0.5</v>
      </c>
      <c r="CR56" s="3">
        <f t="shared" si="180"/>
        <v>0.5</v>
      </c>
      <c r="CS56" s="3"/>
      <c r="CT56" s="3">
        <f t="shared" si="158"/>
        <v>19.811921389438957</v>
      </c>
      <c r="CU56" s="3">
        <f t="shared" si="94"/>
        <v>19.811921389438957</v>
      </c>
      <c r="CV56" s="3"/>
      <c r="CW56" s="3"/>
      <c r="CX56" s="3"/>
      <c r="DD56" t="e">
        <f t="shared" si="183"/>
        <v>#VALUE!</v>
      </c>
      <c r="DE56" t="e">
        <f t="shared" si="184"/>
        <v>#VALUE!</v>
      </c>
      <c r="DF56" t="e">
        <f t="shared" si="185"/>
        <v>#VALUE!</v>
      </c>
      <c r="DG56">
        <f t="shared" si="186"/>
        <v>4.6444999999999972</v>
      </c>
      <c r="DH56">
        <f t="shared" si="187"/>
        <v>38.01</v>
      </c>
      <c r="DI56">
        <f t="shared" si="188"/>
        <v>214.50545760000003</v>
      </c>
      <c r="DJ56">
        <f t="shared" si="189"/>
        <v>321.7581864</v>
      </c>
      <c r="DK56">
        <f t="shared" si="190"/>
        <v>572.0145536</v>
      </c>
      <c r="DL56">
        <f t="shared" si="191"/>
        <v>24.884999999999998</v>
      </c>
      <c r="DN56">
        <f t="shared" si="192"/>
        <v>858.02183040000011</v>
      </c>
      <c r="DP56">
        <f t="shared" si="193"/>
        <v>0</v>
      </c>
      <c r="DQ56">
        <f t="shared" si="194"/>
        <v>0</v>
      </c>
      <c r="DR56">
        <f t="shared" si="195"/>
        <v>0</v>
      </c>
      <c r="DU56" t="e">
        <f t="shared" si="196"/>
        <v>#VALUE!</v>
      </c>
    </row>
    <row r="57" spans="1:125" ht="17.25" x14ac:dyDescent="0.3">
      <c r="A57" s="72">
        <f t="shared" si="181"/>
        <v>5.25</v>
      </c>
      <c r="B57" s="113"/>
      <c r="C57" s="28"/>
      <c r="D57" s="118">
        <f>6+6+6</f>
        <v>18</v>
      </c>
      <c r="E57" s="72"/>
      <c r="F57" s="113"/>
      <c r="G57" s="113"/>
      <c r="H57" s="113"/>
      <c r="I57" s="314"/>
      <c r="J57" s="142" t="s">
        <v>151</v>
      </c>
      <c r="K57" s="213">
        <v>1</v>
      </c>
      <c r="L57" s="72"/>
      <c r="M57" s="27">
        <f t="shared" si="103"/>
        <v>0</v>
      </c>
      <c r="N57" s="118">
        <v>2.5</v>
      </c>
      <c r="O57" s="72">
        <v>2.1</v>
      </c>
      <c r="P57" s="72">
        <v>2.8</v>
      </c>
      <c r="Q57" s="72">
        <v>0.2</v>
      </c>
      <c r="R57" s="72">
        <v>0.35</v>
      </c>
      <c r="S57" s="222">
        <f t="shared" si="121"/>
        <v>14.7</v>
      </c>
      <c r="T57" s="290">
        <f t="shared" si="79"/>
        <v>5.1520000000000001</v>
      </c>
      <c r="U57" s="290">
        <f t="shared" si="80"/>
        <v>5.4740000000000002</v>
      </c>
      <c r="V57" s="290">
        <f t="shared" si="81"/>
        <v>1395.8700000000001</v>
      </c>
      <c r="W57" s="48"/>
      <c r="X57" s="250" t="s">
        <v>158</v>
      </c>
      <c r="Y57" s="14" t="str">
        <f t="shared" si="197"/>
        <v>ŽB. šachta</v>
      </c>
      <c r="Z57" s="16">
        <v>1</v>
      </c>
      <c r="AA57" s="16" t="s">
        <v>75</v>
      </c>
      <c r="AB57" s="181" t="s">
        <v>247</v>
      </c>
      <c r="AC57" s="260" t="str">
        <f t="shared" si="177"/>
        <v>Š32</v>
      </c>
      <c r="AD57" s="263">
        <f t="shared" si="198"/>
        <v>1</v>
      </c>
      <c r="AE57" s="37" t="s">
        <v>184</v>
      </c>
      <c r="AF57" s="48" t="s">
        <v>184</v>
      </c>
      <c r="AG57" s="48">
        <f t="shared" si="122"/>
        <v>32.86</v>
      </c>
      <c r="AH57" s="48">
        <f t="shared" si="123"/>
        <v>32.86</v>
      </c>
      <c r="AI57" s="24" t="s">
        <v>184</v>
      </c>
      <c r="AJ57" s="307">
        <f t="shared" si="124"/>
        <v>65.72</v>
      </c>
      <c r="AK57" s="255" t="str">
        <f t="shared" si="74"/>
        <v>Š32</v>
      </c>
      <c r="AL57" s="28" t="s">
        <v>22</v>
      </c>
      <c r="AM57" s="25">
        <f t="shared" si="125"/>
        <v>62.019999999999996</v>
      </c>
      <c r="AN57" s="56">
        <f t="shared" si="182"/>
        <v>12.209999999999999</v>
      </c>
      <c r="AO57" s="251" t="s">
        <v>218</v>
      </c>
      <c r="AP57" s="194">
        <f t="shared" si="126"/>
        <v>0</v>
      </c>
      <c r="AQ57" s="208"/>
      <c r="AR57" s="203">
        <f t="shared" si="127"/>
        <v>0</v>
      </c>
      <c r="AS57" s="189"/>
      <c r="AT57" s="198">
        <f t="shared" si="178"/>
        <v>0</v>
      </c>
      <c r="AU57" s="199">
        <f t="shared" si="128"/>
        <v>14.651999999999997</v>
      </c>
      <c r="AV57" s="222">
        <f t="shared" si="129"/>
        <v>1.8314999999999997</v>
      </c>
      <c r="AW57" s="118"/>
      <c r="AX57" s="103">
        <f t="shared" si="179"/>
        <v>1.2</v>
      </c>
      <c r="AY57" s="192">
        <f t="shared" si="130"/>
        <v>12.209999999999999</v>
      </c>
      <c r="AZ57" s="192">
        <v>1</v>
      </c>
      <c r="BA57" s="192">
        <f t="shared" si="131"/>
        <v>42.124499999999991</v>
      </c>
      <c r="BB57" s="113">
        <f t="shared" si="132"/>
        <v>0</v>
      </c>
      <c r="BC57" s="113">
        <f t="shared" si="133"/>
        <v>18.8</v>
      </c>
      <c r="BD57" s="270">
        <f t="shared" si="173"/>
        <v>0</v>
      </c>
      <c r="BE57" s="228">
        <f t="shared" si="134"/>
        <v>17.656499999999998</v>
      </c>
      <c r="BF57" s="268">
        <v>2</v>
      </c>
      <c r="BG57" s="268">
        <f t="shared" si="175"/>
        <v>3.4</v>
      </c>
      <c r="BH57" s="118">
        <v>5</v>
      </c>
      <c r="BI57" s="72">
        <f t="shared" ref="BI57" si="199">BF57*BH57*15</f>
        <v>150</v>
      </c>
      <c r="BJ57" s="256" t="str">
        <f t="shared" si="78"/>
        <v>Š32</v>
      </c>
      <c r="BK57" s="230">
        <f t="shared" si="83"/>
        <v>8.5</v>
      </c>
      <c r="BL57" s="3">
        <f t="shared" si="86"/>
        <v>1</v>
      </c>
      <c r="BM57" s="3">
        <f t="shared" si="87"/>
        <v>1</v>
      </c>
      <c r="BN57" s="10">
        <f t="shared" si="136"/>
        <v>0</v>
      </c>
      <c r="BO57" s="3">
        <f t="shared" si="137"/>
        <v>0</v>
      </c>
      <c r="BP57" s="3">
        <f t="shared" si="138"/>
        <v>0</v>
      </c>
      <c r="BQ57" s="3">
        <f t="shared" si="139"/>
        <v>1</v>
      </c>
      <c r="BR57" s="3">
        <f t="shared" si="140"/>
        <v>0</v>
      </c>
      <c r="BS57" s="3">
        <f t="shared" si="141"/>
        <v>0</v>
      </c>
      <c r="BT57" s="3"/>
      <c r="BU57" s="3">
        <f t="shared" si="142"/>
        <v>0</v>
      </c>
      <c r="BV57" s="3">
        <f t="shared" si="143"/>
        <v>1</v>
      </c>
      <c r="BW57" s="3">
        <f t="shared" si="144"/>
        <v>0</v>
      </c>
      <c r="BX57" s="3">
        <f t="shared" si="145"/>
        <v>0</v>
      </c>
      <c r="BY57" s="3">
        <f t="shared" si="146"/>
        <v>0</v>
      </c>
      <c r="BZ57" s="3">
        <f t="shared" si="147"/>
        <v>0</v>
      </c>
      <c r="CA57" s="3">
        <f t="shared" si="148"/>
        <v>0</v>
      </c>
      <c r="CB57" s="3">
        <f t="shared" si="149"/>
        <v>0</v>
      </c>
      <c r="CC57" s="3">
        <f t="shared" si="150"/>
        <v>0</v>
      </c>
      <c r="CD57" s="3">
        <f t="shared" si="151"/>
        <v>0</v>
      </c>
      <c r="CE57" s="3">
        <f t="shared" si="152"/>
        <v>0</v>
      </c>
      <c r="CF57" s="3">
        <f t="shared" si="153"/>
        <v>0</v>
      </c>
      <c r="CG57" s="3">
        <f t="shared" si="88"/>
        <v>1</v>
      </c>
      <c r="CH57" s="3">
        <f t="shared" si="89"/>
        <v>0</v>
      </c>
      <c r="CI57" s="3"/>
      <c r="CJ57" s="3">
        <f t="shared" si="154"/>
        <v>15.17</v>
      </c>
      <c r="CK57" s="3">
        <f t="shared" si="155"/>
        <v>34.769999999999996</v>
      </c>
      <c r="CL57" s="3">
        <f t="shared" si="90"/>
        <v>527.46089999999992</v>
      </c>
      <c r="CM57" s="3">
        <f t="shared" si="91"/>
        <v>22.966516932264675</v>
      </c>
      <c r="CN57" s="10">
        <f t="shared" si="156"/>
        <v>3.15</v>
      </c>
      <c r="CO57" s="3">
        <f t="shared" si="157"/>
        <v>76.551842778877912</v>
      </c>
      <c r="CP57" s="3">
        <f t="shared" si="92"/>
        <v>38.275921389438956</v>
      </c>
      <c r="CQ57" s="3">
        <f t="shared" si="93"/>
        <v>0.5</v>
      </c>
      <c r="CR57" s="3">
        <f t="shared" si="180"/>
        <v>0.5</v>
      </c>
      <c r="CS57" s="3"/>
      <c r="CT57" s="3">
        <f t="shared" si="158"/>
        <v>19.811921389438957</v>
      </c>
      <c r="CU57" s="3">
        <f t="shared" si="94"/>
        <v>19.811921389438957</v>
      </c>
      <c r="CV57" s="3"/>
      <c r="CW57" s="3"/>
      <c r="CX57" s="3"/>
      <c r="DD57" t="e">
        <f t="shared" si="183"/>
        <v>#VALUE!</v>
      </c>
      <c r="DE57" t="e">
        <f t="shared" si="184"/>
        <v>#VALUE!</v>
      </c>
      <c r="DF57" t="e">
        <f t="shared" si="185"/>
        <v>#VALUE!</v>
      </c>
      <c r="DG57">
        <f t="shared" si="186"/>
        <v>4.6444999999999972</v>
      </c>
      <c r="DH57">
        <f t="shared" si="187"/>
        <v>38.01</v>
      </c>
      <c r="DI57">
        <f t="shared" si="188"/>
        <v>214.50545760000003</v>
      </c>
      <c r="DJ57">
        <f t="shared" si="189"/>
        <v>321.7581864</v>
      </c>
      <c r="DK57">
        <f t="shared" si="190"/>
        <v>572.0145536</v>
      </c>
      <c r="DL57">
        <f t="shared" si="191"/>
        <v>24.884999999999998</v>
      </c>
      <c r="DN57">
        <f t="shared" si="192"/>
        <v>858.02183040000011</v>
      </c>
      <c r="DP57">
        <f t="shared" si="193"/>
        <v>0</v>
      </c>
      <c r="DQ57">
        <f t="shared" si="194"/>
        <v>0</v>
      </c>
      <c r="DR57">
        <f t="shared" si="195"/>
        <v>0</v>
      </c>
      <c r="DU57" t="e">
        <f t="shared" si="196"/>
        <v>#VALUE!</v>
      </c>
    </row>
    <row r="58" spans="1:125" ht="17.25" x14ac:dyDescent="0.3">
      <c r="A58" s="72">
        <f t="shared" si="181"/>
        <v>1.4015359999999999</v>
      </c>
      <c r="B58" s="113"/>
      <c r="C58" s="28">
        <v>2</v>
      </c>
      <c r="D58" s="118"/>
      <c r="E58" s="72"/>
      <c r="F58" s="113"/>
      <c r="G58" s="113"/>
      <c r="H58" s="113"/>
      <c r="I58" s="314"/>
      <c r="J58" s="142" t="s">
        <v>152</v>
      </c>
      <c r="K58" s="320">
        <v>0</v>
      </c>
      <c r="L58" s="72"/>
      <c r="M58" s="323">
        <f t="shared" ref="M58" si="200">IF(K58=0,1,0)</f>
        <v>1</v>
      </c>
      <c r="N58" s="118">
        <v>1.4359999999999999</v>
      </c>
      <c r="O58" s="72">
        <v>0.97599999999999998</v>
      </c>
      <c r="P58" s="72">
        <v>1.35</v>
      </c>
      <c r="Q58" s="72"/>
      <c r="R58" s="72"/>
      <c r="S58" s="222">
        <f t="shared" si="121"/>
        <v>1.8920736</v>
      </c>
      <c r="T58" s="290">
        <f t="shared" si="79"/>
        <v>0</v>
      </c>
      <c r="U58" s="290">
        <f t="shared" si="80"/>
        <v>0</v>
      </c>
      <c r="V58" s="290">
        <f t="shared" si="81"/>
        <v>0</v>
      </c>
      <c r="W58" s="48"/>
      <c r="X58" s="250" t="s">
        <v>158</v>
      </c>
      <c r="Y58" s="14" t="str">
        <f t="shared" si="197"/>
        <v>pro pl. šachtu</v>
      </c>
      <c r="Z58" s="16">
        <v>1</v>
      </c>
      <c r="AA58" s="16" t="s">
        <v>75</v>
      </c>
      <c r="AB58" s="181" t="s">
        <v>16</v>
      </c>
      <c r="AC58" s="260" t="str">
        <f t="shared" si="177"/>
        <v>Š33</v>
      </c>
      <c r="AD58" s="263">
        <f t="shared" si="198"/>
        <v>0</v>
      </c>
      <c r="AE58" s="37" t="s">
        <v>249</v>
      </c>
      <c r="AF58" s="48" t="s">
        <v>249</v>
      </c>
      <c r="AG58" s="48">
        <f t="shared" si="122"/>
        <v>0</v>
      </c>
      <c r="AH58" s="48">
        <f t="shared" si="123"/>
        <v>0</v>
      </c>
      <c r="AI58" s="24" t="s">
        <v>23</v>
      </c>
      <c r="AJ58" s="307">
        <f t="shared" si="124"/>
        <v>0</v>
      </c>
      <c r="AK58" s="255" t="str">
        <f t="shared" si="74"/>
        <v>Š33</v>
      </c>
      <c r="AL58" s="28" t="s">
        <v>22</v>
      </c>
      <c r="AM58" s="25">
        <f t="shared" si="125"/>
        <v>15.827872000000001</v>
      </c>
      <c r="AN58" s="56">
        <f t="shared" si="182"/>
        <v>3.579936</v>
      </c>
      <c r="AO58" s="251" t="s">
        <v>249</v>
      </c>
      <c r="AP58" s="194">
        <f t="shared" si="126"/>
        <v>0</v>
      </c>
      <c r="AQ58" s="208"/>
      <c r="AR58" s="203">
        <f t="shared" si="127"/>
        <v>0</v>
      </c>
      <c r="AS58" s="189"/>
      <c r="AT58" s="198">
        <f t="shared" si="178"/>
        <v>1.5</v>
      </c>
      <c r="AU58" s="199">
        <f t="shared" si="128"/>
        <v>0</v>
      </c>
      <c r="AV58" s="222">
        <f t="shared" si="129"/>
        <v>0.35799360000000002</v>
      </c>
      <c r="AW58" s="118"/>
      <c r="AX58" s="103">
        <f t="shared" si="179"/>
        <v>0.7</v>
      </c>
      <c r="AY58" s="192">
        <f t="shared" si="130"/>
        <v>3.579936</v>
      </c>
      <c r="AZ58" s="192">
        <v>0.75</v>
      </c>
      <c r="BA58" s="192">
        <f t="shared" si="131"/>
        <v>4.4301708</v>
      </c>
      <c r="BB58" s="113">
        <f t="shared" si="132"/>
        <v>0</v>
      </c>
      <c r="BC58" s="113">
        <f t="shared" si="133"/>
        <v>0</v>
      </c>
      <c r="BD58" s="270">
        <f t="shared" si="173"/>
        <v>1.3029999999999999</v>
      </c>
      <c r="BE58" s="228">
        <f t="shared" si="134"/>
        <v>2.5828464000000002</v>
      </c>
      <c r="BF58" s="268">
        <f t="shared" ref="BF58:BG60" si="201">CEILING(IF(K58=0,0,N58-0.8+O58-0.8),1)</f>
        <v>0</v>
      </c>
      <c r="BG58" s="268">
        <f t="shared" si="201"/>
        <v>0</v>
      </c>
      <c r="BH58" s="118"/>
      <c r="BI58" s="72">
        <f t="shared" si="68"/>
        <v>0</v>
      </c>
      <c r="BJ58" s="256" t="str">
        <f t="shared" si="78"/>
        <v>Š33</v>
      </c>
      <c r="BK58" s="230">
        <f t="shared" si="83"/>
        <v>0</v>
      </c>
      <c r="BL58" s="3">
        <f t="shared" si="86"/>
        <v>0</v>
      </c>
      <c r="BM58" s="3">
        <f t="shared" si="87"/>
        <v>0</v>
      </c>
      <c r="BN58" s="10">
        <f t="shared" si="136"/>
        <v>0</v>
      </c>
      <c r="BO58" s="3">
        <f t="shared" si="137"/>
        <v>0</v>
      </c>
      <c r="BP58" s="3">
        <f t="shared" si="138"/>
        <v>0</v>
      </c>
      <c r="BQ58" s="3">
        <f t="shared" si="139"/>
        <v>0</v>
      </c>
      <c r="BR58" s="3">
        <f t="shared" si="140"/>
        <v>0</v>
      </c>
      <c r="BS58" s="3">
        <f t="shared" si="141"/>
        <v>0</v>
      </c>
      <c r="BT58" s="3"/>
      <c r="BU58" s="3">
        <f t="shared" si="142"/>
        <v>0</v>
      </c>
      <c r="BV58" s="3">
        <f t="shared" si="143"/>
        <v>0</v>
      </c>
      <c r="BW58" s="3">
        <f t="shared" si="144"/>
        <v>0</v>
      </c>
      <c r="BX58" s="3">
        <f t="shared" si="145"/>
        <v>0</v>
      </c>
      <c r="BY58" s="3">
        <f t="shared" si="146"/>
        <v>0</v>
      </c>
      <c r="BZ58" s="3">
        <f t="shared" si="147"/>
        <v>0</v>
      </c>
      <c r="CA58" s="3">
        <f t="shared" si="148"/>
        <v>1.35</v>
      </c>
      <c r="CB58" s="3">
        <f t="shared" si="149"/>
        <v>0</v>
      </c>
      <c r="CC58" s="3">
        <f t="shared" si="150"/>
        <v>0</v>
      </c>
      <c r="CD58" s="3">
        <f t="shared" si="151"/>
        <v>0</v>
      </c>
      <c r="CE58" s="3">
        <f t="shared" si="152"/>
        <v>0</v>
      </c>
      <c r="CF58" s="3">
        <f t="shared" si="153"/>
        <v>0</v>
      </c>
      <c r="CG58" s="3">
        <f t="shared" si="88"/>
        <v>1</v>
      </c>
      <c r="CH58" s="3">
        <f t="shared" si="89"/>
        <v>0</v>
      </c>
      <c r="CI58" s="3"/>
      <c r="CJ58" s="3">
        <f t="shared" si="154"/>
        <v>7.8207360000000001</v>
      </c>
      <c r="CK58" s="3">
        <f t="shared" si="155"/>
        <v>23.044736</v>
      </c>
      <c r="CL58" s="3">
        <f t="shared" si="90"/>
        <v>180.22679644569601</v>
      </c>
      <c r="CM58" s="3">
        <f t="shared" si="91"/>
        <v>13.424857408765876</v>
      </c>
      <c r="CN58" s="10">
        <f t="shared" si="156"/>
        <v>1.35</v>
      </c>
      <c r="CO58" s="3">
        <f t="shared" si="157"/>
        <v>19.930648233944645</v>
      </c>
      <c r="CP58" s="3">
        <f t="shared" si="92"/>
        <v>0</v>
      </c>
      <c r="CQ58" s="3">
        <f t="shared" si="93"/>
        <v>0</v>
      </c>
      <c r="CR58" s="3">
        <f t="shared" si="180"/>
        <v>0</v>
      </c>
      <c r="CS58" s="3"/>
      <c r="CT58" s="3">
        <f t="shared" si="158"/>
        <v>-2.7897072000000001</v>
      </c>
      <c r="CU58" s="3">
        <f t="shared" si="94"/>
        <v>0</v>
      </c>
      <c r="CV58" s="3"/>
      <c r="CW58" s="3"/>
      <c r="CX58" s="3"/>
      <c r="DD58" t="e">
        <f t="shared" si="183"/>
        <v>#VALUE!</v>
      </c>
      <c r="DE58" t="e">
        <f t="shared" si="184"/>
        <v>#VALUE!</v>
      </c>
      <c r="DF58" t="e">
        <f t="shared" si="185"/>
        <v>#VALUE!</v>
      </c>
      <c r="DG58">
        <f t="shared" si="186"/>
        <v>0</v>
      </c>
      <c r="DH58">
        <f t="shared" si="187"/>
        <v>9.3154719999999998</v>
      </c>
      <c r="DI58">
        <f t="shared" si="188"/>
        <v>55.108096638720006</v>
      </c>
      <c r="DJ58">
        <f t="shared" si="189"/>
        <v>82.662144958080006</v>
      </c>
      <c r="DK58">
        <f t="shared" si="190"/>
        <v>146.95492436992001</v>
      </c>
      <c r="DL58">
        <f t="shared" si="191"/>
        <v>7.7111999999999998</v>
      </c>
      <c r="DN58">
        <f t="shared" si="192"/>
        <v>220.43238655488003</v>
      </c>
      <c r="DP58">
        <f t="shared" si="193"/>
        <v>0</v>
      </c>
      <c r="DQ58">
        <f t="shared" si="194"/>
        <v>0</v>
      </c>
      <c r="DR58">
        <f t="shared" si="195"/>
        <v>0</v>
      </c>
      <c r="DU58" t="e">
        <f t="shared" si="196"/>
        <v>#VALUE!</v>
      </c>
    </row>
    <row r="59" spans="1:125" ht="17.25" x14ac:dyDescent="0.3">
      <c r="A59" s="72">
        <f t="shared" si="181"/>
        <v>1.4015359999999999</v>
      </c>
      <c r="B59" s="113"/>
      <c r="C59" s="28">
        <v>3</v>
      </c>
      <c r="D59" s="118"/>
      <c r="E59" s="72"/>
      <c r="F59" s="113"/>
      <c r="G59" s="113"/>
      <c r="H59" s="113"/>
      <c r="I59" s="314"/>
      <c r="J59" s="142" t="s">
        <v>153</v>
      </c>
      <c r="K59" s="320">
        <v>0</v>
      </c>
      <c r="L59" s="72"/>
      <c r="M59" s="323">
        <f t="shared" ref="M59:M61" si="202">IF(K59=0,1,0)</f>
        <v>1</v>
      </c>
      <c r="N59" s="118">
        <v>1.4359999999999999</v>
      </c>
      <c r="O59" s="72">
        <v>0.97599999999999998</v>
      </c>
      <c r="P59" s="72">
        <v>1.35</v>
      </c>
      <c r="Q59" s="72"/>
      <c r="R59" s="72"/>
      <c r="S59" s="222">
        <f t="shared" si="121"/>
        <v>1.8920736</v>
      </c>
      <c r="T59" s="290">
        <f t="shared" si="79"/>
        <v>0</v>
      </c>
      <c r="U59" s="290">
        <f t="shared" si="80"/>
        <v>0</v>
      </c>
      <c r="V59" s="290">
        <f t="shared" si="81"/>
        <v>0</v>
      </c>
      <c r="W59" s="48"/>
      <c r="X59" s="250" t="s">
        <v>158</v>
      </c>
      <c r="Y59" s="14" t="str">
        <f t="shared" si="197"/>
        <v>pro pl. šachtu</v>
      </c>
      <c r="Z59" s="16">
        <v>1</v>
      </c>
      <c r="AA59" s="16" t="s">
        <v>75</v>
      </c>
      <c r="AB59" s="181" t="s">
        <v>16</v>
      </c>
      <c r="AC59" s="260" t="str">
        <f t="shared" si="177"/>
        <v>Š34</v>
      </c>
      <c r="AD59" s="263">
        <f t="shared" si="198"/>
        <v>0</v>
      </c>
      <c r="AE59" s="37" t="s">
        <v>23</v>
      </c>
      <c r="AF59" s="48" t="s">
        <v>249</v>
      </c>
      <c r="AG59" s="48">
        <f t="shared" si="122"/>
        <v>0</v>
      </c>
      <c r="AH59" s="48">
        <f t="shared" si="123"/>
        <v>0</v>
      </c>
      <c r="AI59" s="24" t="s">
        <v>23</v>
      </c>
      <c r="AJ59" s="307">
        <f t="shared" si="124"/>
        <v>0</v>
      </c>
      <c r="AK59" s="255" t="str">
        <f t="shared" si="74"/>
        <v>Š34</v>
      </c>
      <c r="AL59" s="28" t="s">
        <v>22</v>
      </c>
      <c r="AM59" s="25">
        <f t="shared" si="125"/>
        <v>15.827872000000001</v>
      </c>
      <c r="AN59" s="56">
        <f t="shared" si="182"/>
        <v>3.579936</v>
      </c>
      <c r="AO59" s="251" t="s">
        <v>249</v>
      </c>
      <c r="AP59" s="194">
        <f t="shared" si="126"/>
        <v>0</v>
      </c>
      <c r="AQ59" s="208"/>
      <c r="AR59" s="203">
        <f t="shared" si="127"/>
        <v>0</v>
      </c>
      <c r="AS59" s="189"/>
      <c r="AT59" s="198">
        <f t="shared" si="178"/>
        <v>1.5</v>
      </c>
      <c r="AU59" s="199">
        <f t="shared" si="128"/>
        <v>0</v>
      </c>
      <c r="AV59" s="222">
        <f t="shared" si="129"/>
        <v>0.35799360000000002</v>
      </c>
      <c r="AW59" s="118"/>
      <c r="AX59" s="103">
        <f t="shared" si="179"/>
        <v>0.7</v>
      </c>
      <c r="AY59" s="192">
        <f t="shared" si="130"/>
        <v>3.579936</v>
      </c>
      <c r="AZ59" s="192">
        <v>0.75</v>
      </c>
      <c r="BA59" s="192">
        <f t="shared" si="131"/>
        <v>4.4301708</v>
      </c>
      <c r="BB59" s="113">
        <f t="shared" si="132"/>
        <v>0</v>
      </c>
      <c r="BC59" s="113">
        <f t="shared" si="133"/>
        <v>0</v>
      </c>
      <c r="BD59" s="270">
        <f t="shared" si="173"/>
        <v>1.3029999999999999</v>
      </c>
      <c r="BE59" s="228">
        <f t="shared" si="134"/>
        <v>2.5828464000000002</v>
      </c>
      <c r="BF59" s="268">
        <f t="shared" si="201"/>
        <v>0</v>
      </c>
      <c r="BG59" s="268">
        <f t="shared" si="201"/>
        <v>0</v>
      </c>
      <c r="BH59" s="118"/>
      <c r="BI59" s="72">
        <f t="shared" si="68"/>
        <v>0</v>
      </c>
      <c r="BJ59" s="256" t="str">
        <f t="shared" si="78"/>
        <v>Š34</v>
      </c>
      <c r="BK59" s="230">
        <f t="shared" si="83"/>
        <v>0</v>
      </c>
      <c r="BL59" s="3">
        <f t="shared" si="86"/>
        <v>0</v>
      </c>
      <c r="BM59" s="3">
        <f t="shared" si="87"/>
        <v>0</v>
      </c>
      <c r="BN59" s="10">
        <f t="shared" si="136"/>
        <v>0</v>
      </c>
      <c r="BO59" s="3">
        <f t="shared" si="137"/>
        <v>0</v>
      </c>
      <c r="BP59" s="3">
        <f t="shared" si="138"/>
        <v>0</v>
      </c>
      <c r="BQ59" s="3">
        <f t="shared" si="139"/>
        <v>0</v>
      </c>
      <c r="BR59" s="3">
        <f t="shared" si="140"/>
        <v>0</v>
      </c>
      <c r="BS59" s="3">
        <f t="shared" si="141"/>
        <v>0</v>
      </c>
      <c r="BT59" s="3"/>
      <c r="BU59" s="3">
        <f t="shared" si="142"/>
        <v>0</v>
      </c>
      <c r="BV59" s="3">
        <f t="shared" si="143"/>
        <v>0</v>
      </c>
      <c r="BW59" s="3">
        <f t="shared" si="144"/>
        <v>0</v>
      </c>
      <c r="BX59" s="3">
        <f t="shared" si="145"/>
        <v>0</v>
      </c>
      <c r="BY59" s="3">
        <f t="shared" si="146"/>
        <v>0</v>
      </c>
      <c r="BZ59" s="3">
        <f t="shared" si="147"/>
        <v>0</v>
      </c>
      <c r="CA59" s="3">
        <f t="shared" si="148"/>
        <v>1.35</v>
      </c>
      <c r="CB59" s="3">
        <f t="shared" si="149"/>
        <v>0</v>
      </c>
      <c r="CC59" s="3">
        <f t="shared" si="150"/>
        <v>0</v>
      </c>
      <c r="CD59" s="3">
        <f t="shared" si="151"/>
        <v>0</v>
      </c>
      <c r="CE59" s="3">
        <f t="shared" si="152"/>
        <v>0</v>
      </c>
      <c r="CF59" s="3">
        <f t="shared" si="153"/>
        <v>0</v>
      </c>
      <c r="CG59" s="3">
        <f t="shared" si="88"/>
        <v>1</v>
      </c>
      <c r="CH59" s="3">
        <f t="shared" si="89"/>
        <v>0</v>
      </c>
      <c r="CI59" s="3"/>
      <c r="CJ59" s="3">
        <f t="shared" si="154"/>
        <v>7.8207360000000001</v>
      </c>
      <c r="CK59" s="3">
        <f t="shared" si="155"/>
        <v>23.044736</v>
      </c>
      <c r="CL59" s="3">
        <f t="shared" si="90"/>
        <v>180.22679644569601</v>
      </c>
      <c r="CM59" s="3">
        <f t="shared" si="91"/>
        <v>13.424857408765876</v>
      </c>
      <c r="CN59" s="10">
        <f t="shared" si="156"/>
        <v>1.35</v>
      </c>
      <c r="CO59" s="3">
        <f t="shared" si="157"/>
        <v>19.930648233944645</v>
      </c>
      <c r="CP59" s="3">
        <f t="shared" si="92"/>
        <v>0</v>
      </c>
      <c r="CQ59" s="3">
        <f t="shared" si="93"/>
        <v>0</v>
      </c>
      <c r="CR59" s="3">
        <f t="shared" si="180"/>
        <v>0</v>
      </c>
      <c r="CS59" s="3"/>
      <c r="CT59" s="3">
        <f t="shared" si="158"/>
        <v>-2.7897072000000001</v>
      </c>
      <c r="CU59" s="3">
        <f t="shared" si="94"/>
        <v>0</v>
      </c>
      <c r="CV59" s="3"/>
      <c r="CW59" s="3"/>
      <c r="CX59" s="3"/>
      <c r="DD59" t="e">
        <f t="shared" si="183"/>
        <v>#VALUE!</v>
      </c>
      <c r="DE59" t="e">
        <f t="shared" si="184"/>
        <v>#VALUE!</v>
      </c>
      <c r="DF59" t="e">
        <f t="shared" si="185"/>
        <v>#VALUE!</v>
      </c>
      <c r="DG59">
        <f t="shared" si="186"/>
        <v>0</v>
      </c>
      <c r="DH59">
        <f t="shared" si="187"/>
        <v>9.3154719999999998</v>
      </c>
      <c r="DI59">
        <f t="shared" si="188"/>
        <v>55.108096638720006</v>
      </c>
      <c r="DJ59">
        <f t="shared" si="189"/>
        <v>82.662144958080006</v>
      </c>
      <c r="DK59">
        <f t="shared" si="190"/>
        <v>146.95492436992001</v>
      </c>
      <c r="DL59">
        <f t="shared" si="191"/>
        <v>7.7111999999999998</v>
      </c>
      <c r="DN59">
        <f t="shared" si="192"/>
        <v>220.43238655488003</v>
      </c>
      <c r="DP59">
        <f t="shared" si="193"/>
        <v>0</v>
      </c>
      <c r="DQ59">
        <f t="shared" si="194"/>
        <v>0</v>
      </c>
      <c r="DR59">
        <f t="shared" si="195"/>
        <v>0</v>
      </c>
      <c r="DU59" t="e">
        <f t="shared" si="196"/>
        <v>#VALUE!</v>
      </c>
    </row>
    <row r="60" spans="1:125" ht="17.25" x14ac:dyDescent="0.3">
      <c r="A60" s="72">
        <f t="shared" si="181"/>
        <v>1.4015359999999999</v>
      </c>
      <c r="B60" s="113"/>
      <c r="C60" s="28"/>
      <c r="D60" s="118"/>
      <c r="E60" s="72"/>
      <c r="F60" s="113"/>
      <c r="G60" s="113"/>
      <c r="H60" s="113"/>
      <c r="I60" s="314"/>
      <c r="J60" s="142" t="s">
        <v>154</v>
      </c>
      <c r="K60" s="320">
        <v>0</v>
      </c>
      <c r="L60" s="72"/>
      <c r="M60" s="323">
        <f t="shared" si="202"/>
        <v>1</v>
      </c>
      <c r="N60" s="118">
        <v>1.4359999999999999</v>
      </c>
      <c r="O60" s="72">
        <v>0.97599999999999998</v>
      </c>
      <c r="P60" s="72">
        <v>1.35</v>
      </c>
      <c r="Q60" s="72"/>
      <c r="R60" s="72"/>
      <c r="S60" s="222">
        <f t="shared" si="121"/>
        <v>1.8920736</v>
      </c>
      <c r="T60" s="290">
        <f t="shared" si="79"/>
        <v>0</v>
      </c>
      <c r="U60" s="290">
        <f t="shared" si="80"/>
        <v>0</v>
      </c>
      <c r="V60" s="290">
        <f t="shared" si="81"/>
        <v>0</v>
      </c>
      <c r="W60" s="48"/>
      <c r="X60" s="250" t="s">
        <v>158</v>
      </c>
      <c r="Y60" s="14" t="str">
        <f t="shared" si="197"/>
        <v>pro pl. šachtu</v>
      </c>
      <c r="Z60" s="16">
        <v>1</v>
      </c>
      <c r="AA60" s="16" t="s">
        <v>75</v>
      </c>
      <c r="AB60" s="181" t="s">
        <v>16</v>
      </c>
      <c r="AC60" s="260" t="str">
        <f t="shared" si="177"/>
        <v>Š35</v>
      </c>
      <c r="AD60" s="263">
        <f t="shared" si="198"/>
        <v>0</v>
      </c>
      <c r="AE60" s="37" t="s">
        <v>23</v>
      </c>
      <c r="AF60" s="48" t="s">
        <v>249</v>
      </c>
      <c r="AG60" s="48">
        <f t="shared" si="122"/>
        <v>0</v>
      </c>
      <c r="AH60" s="48">
        <f t="shared" si="123"/>
        <v>0</v>
      </c>
      <c r="AI60" s="24" t="s">
        <v>23</v>
      </c>
      <c r="AJ60" s="307">
        <f t="shared" si="124"/>
        <v>0</v>
      </c>
      <c r="AK60" s="255" t="str">
        <f t="shared" si="74"/>
        <v>Š35</v>
      </c>
      <c r="AL60" s="28" t="s">
        <v>22</v>
      </c>
      <c r="AM60" s="25">
        <f t="shared" si="125"/>
        <v>15.827872000000001</v>
      </c>
      <c r="AN60" s="56">
        <f t="shared" si="182"/>
        <v>3.579936</v>
      </c>
      <c r="AO60" s="251" t="s">
        <v>249</v>
      </c>
      <c r="AP60" s="194">
        <f t="shared" si="126"/>
        <v>0</v>
      </c>
      <c r="AQ60" s="208"/>
      <c r="AR60" s="203">
        <f t="shared" si="127"/>
        <v>0</v>
      </c>
      <c r="AS60" s="189"/>
      <c r="AT60" s="198">
        <f t="shared" si="178"/>
        <v>1.5</v>
      </c>
      <c r="AU60" s="199">
        <f t="shared" si="128"/>
        <v>0</v>
      </c>
      <c r="AV60" s="222">
        <f t="shared" si="129"/>
        <v>0.35799360000000002</v>
      </c>
      <c r="AW60" s="118"/>
      <c r="AX60" s="103">
        <f t="shared" si="179"/>
        <v>0.7</v>
      </c>
      <c r="AY60" s="192">
        <f t="shared" si="130"/>
        <v>3.579936</v>
      </c>
      <c r="AZ60" s="192">
        <v>0.75</v>
      </c>
      <c r="BA60" s="192">
        <f t="shared" si="131"/>
        <v>4.4301708</v>
      </c>
      <c r="BB60" s="113">
        <f t="shared" si="132"/>
        <v>0</v>
      </c>
      <c r="BC60" s="113">
        <f t="shared" si="133"/>
        <v>0</v>
      </c>
      <c r="BD60" s="270">
        <f t="shared" si="173"/>
        <v>1.3029999999999999</v>
      </c>
      <c r="BE60" s="228">
        <f t="shared" si="134"/>
        <v>2.5828464000000002</v>
      </c>
      <c r="BF60" s="268">
        <f t="shared" si="201"/>
        <v>0</v>
      </c>
      <c r="BG60" s="268">
        <f t="shared" si="201"/>
        <v>0</v>
      </c>
      <c r="BH60" s="118"/>
      <c r="BI60" s="72">
        <f t="shared" si="68"/>
        <v>0</v>
      </c>
      <c r="BJ60" s="256" t="str">
        <f t="shared" si="78"/>
        <v>Š35</v>
      </c>
      <c r="BK60" s="230">
        <f t="shared" si="83"/>
        <v>0</v>
      </c>
      <c r="BL60" s="3">
        <f t="shared" si="86"/>
        <v>0</v>
      </c>
      <c r="BM60" s="3">
        <f t="shared" si="87"/>
        <v>0</v>
      </c>
      <c r="BN60" s="10">
        <f t="shared" si="136"/>
        <v>0</v>
      </c>
      <c r="BO60" s="3">
        <f t="shared" si="137"/>
        <v>0</v>
      </c>
      <c r="BP60" s="3">
        <f t="shared" si="138"/>
        <v>0</v>
      </c>
      <c r="BQ60" s="3">
        <f t="shared" si="139"/>
        <v>0</v>
      </c>
      <c r="BR60" s="3">
        <f t="shared" si="140"/>
        <v>0</v>
      </c>
      <c r="BS60" s="3">
        <f t="shared" si="141"/>
        <v>0</v>
      </c>
      <c r="BT60" s="3"/>
      <c r="BU60" s="3">
        <f t="shared" si="142"/>
        <v>0</v>
      </c>
      <c r="BV60" s="3">
        <f t="shared" si="143"/>
        <v>0</v>
      </c>
      <c r="BW60" s="3">
        <f t="shared" si="144"/>
        <v>0</v>
      </c>
      <c r="BX60" s="3">
        <f t="shared" si="145"/>
        <v>0</v>
      </c>
      <c r="BY60" s="3">
        <f t="shared" si="146"/>
        <v>0</v>
      </c>
      <c r="BZ60" s="3">
        <f t="shared" si="147"/>
        <v>0</v>
      </c>
      <c r="CA60" s="3">
        <f t="shared" si="148"/>
        <v>1.35</v>
      </c>
      <c r="CB60" s="3">
        <f t="shared" si="149"/>
        <v>0</v>
      </c>
      <c r="CC60" s="3">
        <f t="shared" si="150"/>
        <v>0</v>
      </c>
      <c r="CD60" s="3">
        <f t="shared" si="151"/>
        <v>0</v>
      </c>
      <c r="CE60" s="3">
        <f t="shared" si="152"/>
        <v>0</v>
      </c>
      <c r="CF60" s="3">
        <f t="shared" si="153"/>
        <v>0</v>
      </c>
      <c r="CG60" s="3">
        <f t="shared" si="88"/>
        <v>1</v>
      </c>
      <c r="CH60" s="3">
        <f t="shared" si="89"/>
        <v>0</v>
      </c>
      <c r="CI60" s="3"/>
      <c r="CJ60" s="3">
        <f t="shared" si="154"/>
        <v>7.8207360000000001</v>
      </c>
      <c r="CK60" s="3">
        <f t="shared" si="155"/>
        <v>23.044736</v>
      </c>
      <c r="CL60" s="3">
        <f t="shared" si="90"/>
        <v>180.22679644569601</v>
      </c>
      <c r="CM60" s="3">
        <f t="shared" si="91"/>
        <v>13.424857408765876</v>
      </c>
      <c r="CN60" s="10">
        <f t="shared" si="156"/>
        <v>1.35</v>
      </c>
      <c r="CO60" s="3">
        <f t="shared" si="157"/>
        <v>19.930648233944645</v>
      </c>
      <c r="CP60" s="3">
        <f t="shared" si="92"/>
        <v>0</v>
      </c>
      <c r="CQ60" s="3">
        <f t="shared" si="93"/>
        <v>0</v>
      </c>
      <c r="CR60" s="3">
        <f t="shared" si="180"/>
        <v>0</v>
      </c>
      <c r="CS60" s="3"/>
      <c r="CT60" s="3">
        <f t="shared" si="158"/>
        <v>-2.7897072000000001</v>
      </c>
      <c r="CU60" s="3">
        <f t="shared" si="94"/>
        <v>0</v>
      </c>
      <c r="CV60" s="3"/>
      <c r="CW60" s="3"/>
      <c r="CX60" s="3"/>
      <c r="DD60" t="e">
        <f t="shared" si="183"/>
        <v>#VALUE!</v>
      </c>
      <c r="DE60" t="e">
        <f t="shared" si="184"/>
        <v>#VALUE!</v>
      </c>
      <c r="DF60" t="e">
        <f t="shared" si="185"/>
        <v>#VALUE!</v>
      </c>
      <c r="DG60">
        <f t="shared" si="186"/>
        <v>0</v>
      </c>
      <c r="DH60">
        <f t="shared" si="187"/>
        <v>9.3154719999999998</v>
      </c>
      <c r="DI60">
        <f t="shared" si="188"/>
        <v>55.108096638720006</v>
      </c>
      <c r="DJ60">
        <f t="shared" si="189"/>
        <v>82.662144958080006</v>
      </c>
      <c r="DK60">
        <f t="shared" si="190"/>
        <v>146.95492436992001</v>
      </c>
      <c r="DL60">
        <f t="shared" si="191"/>
        <v>7.7111999999999998</v>
      </c>
      <c r="DN60">
        <f t="shared" si="192"/>
        <v>220.43238655488003</v>
      </c>
      <c r="DP60">
        <f t="shared" si="193"/>
        <v>0</v>
      </c>
      <c r="DQ60">
        <f t="shared" si="194"/>
        <v>0</v>
      </c>
      <c r="DR60">
        <f t="shared" si="195"/>
        <v>0</v>
      </c>
      <c r="DU60" t="e">
        <f t="shared" si="196"/>
        <v>#VALUE!</v>
      </c>
    </row>
    <row r="61" spans="1:125" ht="17.25" x14ac:dyDescent="0.3">
      <c r="A61" s="72">
        <f t="shared" si="181"/>
        <v>5.25</v>
      </c>
      <c r="B61" s="113"/>
      <c r="C61" s="28"/>
      <c r="D61" s="118"/>
      <c r="E61" s="72"/>
      <c r="F61" s="113"/>
      <c r="G61" s="113"/>
      <c r="H61" s="113"/>
      <c r="I61" s="314"/>
      <c r="J61" s="142" t="s">
        <v>209</v>
      </c>
      <c r="K61" s="213">
        <v>1</v>
      </c>
      <c r="L61" s="72"/>
      <c r="M61" s="27">
        <f t="shared" si="202"/>
        <v>0</v>
      </c>
      <c r="N61" s="118">
        <v>2.5</v>
      </c>
      <c r="O61" s="72">
        <v>2.1</v>
      </c>
      <c r="P61" s="72">
        <v>2.8</v>
      </c>
      <c r="Q61" s="72">
        <v>0.2</v>
      </c>
      <c r="R61" s="72">
        <v>0.35</v>
      </c>
      <c r="S61" s="222">
        <f t="shared" si="121"/>
        <v>14.7</v>
      </c>
      <c r="T61" s="290">
        <f t="shared" si="79"/>
        <v>5.1520000000000001</v>
      </c>
      <c r="U61" s="290">
        <f t="shared" si="80"/>
        <v>5.4740000000000002</v>
      </c>
      <c r="V61" s="290">
        <f t="shared" si="81"/>
        <v>1395.8700000000001</v>
      </c>
      <c r="W61" s="48"/>
      <c r="X61" s="250" t="s">
        <v>158</v>
      </c>
      <c r="Y61" s="14" t="str">
        <f t="shared" si="197"/>
        <v>ŽB. šachta</v>
      </c>
      <c r="Z61" s="16">
        <v>1</v>
      </c>
      <c r="AA61" s="16" t="s">
        <v>75</v>
      </c>
      <c r="AB61" s="181" t="s">
        <v>16</v>
      </c>
      <c r="AC61" s="260" t="str">
        <f t="shared" si="177"/>
        <v>Š36</v>
      </c>
      <c r="AD61" s="263">
        <f t="shared" si="198"/>
        <v>1</v>
      </c>
      <c r="AE61" s="37" t="s">
        <v>184</v>
      </c>
      <c r="AF61" s="48" t="s">
        <v>184</v>
      </c>
      <c r="AG61" s="48">
        <f t="shared" si="122"/>
        <v>32.86</v>
      </c>
      <c r="AH61" s="48">
        <f t="shared" si="123"/>
        <v>32.86</v>
      </c>
      <c r="AI61" s="24" t="s">
        <v>184</v>
      </c>
      <c r="AJ61" s="307">
        <f t="shared" si="124"/>
        <v>65.72</v>
      </c>
      <c r="AK61" s="255" t="str">
        <f t="shared" si="74"/>
        <v>Š36</v>
      </c>
      <c r="AL61" s="28" t="s">
        <v>22</v>
      </c>
      <c r="AM61" s="25">
        <f t="shared" si="125"/>
        <v>62.019999999999996</v>
      </c>
      <c r="AN61" s="56">
        <f t="shared" si="182"/>
        <v>12.209999999999999</v>
      </c>
      <c r="AO61" s="251" t="s">
        <v>249</v>
      </c>
      <c r="AP61" s="194">
        <f t="shared" si="126"/>
        <v>0</v>
      </c>
      <c r="AQ61" s="208"/>
      <c r="AR61" s="203">
        <f t="shared" si="127"/>
        <v>0</v>
      </c>
      <c r="AS61" s="189"/>
      <c r="AT61" s="198">
        <f t="shared" si="178"/>
        <v>0</v>
      </c>
      <c r="AU61" s="199">
        <f t="shared" si="128"/>
        <v>14.651999999999997</v>
      </c>
      <c r="AV61" s="222">
        <f t="shared" si="129"/>
        <v>1.8314999999999997</v>
      </c>
      <c r="AW61" s="118"/>
      <c r="AX61" s="103">
        <f t="shared" si="179"/>
        <v>1.2</v>
      </c>
      <c r="AY61" s="192">
        <f t="shared" si="130"/>
        <v>12.209999999999999</v>
      </c>
      <c r="AZ61" s="192">
        <v>0.75</v>
      </c>
      <c r="BA61" s="192">
        <f t="shared" si="131"/>
        <v>31.593374999999995</v>
      </c>
      <c r="BB61" s="113">
        <f t="shared" si="132"/>
        <v>0</v>
      </c>
      <c r="BC61" s="113">
        <f t="shared" si="133"/>
        <v>18.8</v>
      </c>
      <c r="BD61" s="270">
        <f t="shared" si="173"/>
        <v>0</v>
      </c>
      <c r="BE61" s="228">
        <f t="shared" si="134"/>
        <v>17.656499999999998</v>
      </c>
      <c r="BF61" s="268">
        <v>2</v>
      </c>
      <c r="BG61" s="268">
        <f>BF61*IF(K61=0,0,N61-0.8)</f>
        <v>3.4</v>
      </c>
      <c r="BH61" s="118">
        <v>5</v>
      </c>
      <c r="BI61" s="72">
        <f t="shared" si="68"/>
        <v>150</v>
      </c>
      <c r="BJ61" s="256" t="str">
        <f t="shared" si="78"/>
        <v>Š36</v>
      </c>
      <c r="BK61" s="230">
        <f t="shared" si="83"/>
        <v>8.5</v>
      </c>
      <c r="BL61" s="3">
        <f t="shared" si="86"/>
        <v>1</v>
      </c>
      <c r="BM61" s="3">
        <f t="shared" si="87"/>
        <v>1</v>
      </c>
      <c r="BN61" s="10">
        <f t="shared" si="136"/>
        <v>0</v>
      </c>
      <c r="BO61" s="3">
        <f t="shared" si="137"/>
        <v>0</v>
      </c>
      <c r="BP61" s="3">
        <f t="shared" si="138"/>
        <v>0</v>
      </c>
      <c r="BQ61" s="3">
        <f t="shared" si="139"/>
        <v>1</v>
      </c>
      <c r="BR61" s="3">
        <f t="shared" si="140"/>
        <v>0</v>
      </c>
      <c r="BS61" s="3">
        <f t="shared" si="141"/>
        <v>0</v>
      </c>
      <c r="BT61" s="3"/>
      <c r="BU61" s="3">
        <f t="shared" si="142"/>
        <v>0</v>
      </c>
      <c r="BV61" s="3">
        <f t="shared" si="143"/>
        <v>1</v>
      </c>
      <c r="BW61" s="3">
        <f t="shared" si="144"/>
        <v>0</v>
      </c>
      <c r="BX61" s="3">
        <f t="shared" si="145"/>
        <v>0</v>
      </c>
      <c r="BY61" s="3">
        <f t="shared" si="146"/>
        <v>0</v>
      </c>
      <c r="BZ61" s="3">
        <f t="shared" si="147"/>
        <v>0</v>
      </c>
      <c r="CA61" s="3">
        <f t="shared" si="148"/>
        <v>0</v>
      </c>
      <c r="CB61" s="3">
        <f t="shared" si="149"/>
        <v>0</v>
      </c>
      <c r="CC61" s="3">
        <f t="shared" si="150"/>
        <v>0</v>
      </c>
      <c r="CD61" s="3">
        <f t="shared" si="151"/>
        <v>0</v>
      </c>
      <c r="CE61" s="3">
        <f t="shared" si="152"/>
        <v>0</v>
      </c>
      <c r="CF61" s="3">
        <f t="shared" si="153"/>
        <v>0</v>
      </c>
      <c r="CG61" s="3">
        <f t="shared" si="88"/>
        <v>1</v>
      </c>
      <c r="CH61" s="3">
        <f t="shared" si="89"/>
        <v>0</v>
      </c>
      <c r="CI61" s="3"/>
      <c r="CJ61" s="3">
        <f t="shared" si="154"/>
        <v>15.17</v>
      </c>
      <c r="CK61" s="3">
        <f t="shared" si="155"/>
        <v>34.769999999999996</v>
      </c>
      <c r="CL61" s="3">
        <f t="shared" si="90"/>
        <v>527.46089999999992</v>
      </c>
      <c r="CM61" s="3">
        <f t="shared" si="91"/>
        <v>22.966516932264675</v>
      </c>
      <c r="CN61" s="10">
        <f t="shared" si="156"/>
        <v>3.15</v>
      </c>
      <c r="CO61" s="3">
        <f t="shared" si="157"/>
        <v>76.551842778877912</v>
      </c>
      <c r="CP61" s="3">
        <f t="shared" si="92"/>
        <v>38.275921389438956</v>
      </c>
      <c r="CQ61" s="3">
        <f t="shared" si="93"/>
        <v>0.5</v>
      </c>
      <c r="CR61" s="3">
        <f t="shared" si="180"/>
        <v>0.5</v>
      </c>
      <c r="CS61" s="3"/>
      <c r="CT61" s="3">
        <f t="shared" si="158"/>
        <v>19.811921389438957</v>
      </c>
      <c r="CU61" s="3">
        <f t="shared" si="94"/>
        <v>19.811921389438957</v>
      </c>
      <c r="CV61" s="3"/>
      <c r="CW61" s="3"/>
      <c r="CX61" s="3"/>
      <c r="DD61" t="e">
        <f t="shared" si="183"/>
        <v>#VALUE!</v>
      </c>
      <c r="DE61" t="e">
        <f t="shared" si="184"/>
        <v>#VALUE!</v>
      </c>
      <c r="DF61" t="e">
        <f t="shared" si="185"/>
        <v>#VALUE!</v>
      </c>
      <c r="DG61">
        <f t="shared" si="186"/>
        <v>4.6444999999999972</v>
      </c>
      <c r="DH61">
        <f t="shared" si="187"/>
        <v>38.01</v>
      </c>
      <c r="DI61">
        <f t="shared" si="188"/>
        <v>214.50545760000003</v>
      </c>
      <c r="DJ61">
        <f t="shared" si="189"/>
        <v>321.7581864</v>
      </c>
      <c r="DK61">
        <f t="shared" si="190"/>
        <v>572.0145536</v>
      </c>
      <c r="DL61">
        <f t="shared" si="191"/>
        <v>24.884999999999998</v>
      </c>
      <c r="DN61">
        <f t="shared" si="192"/>
        <v>858.02183040000011</v>
      </c>
      <c r="DP61">
        <f t="shared" si="193"/>
        <v>0</v>
      </c>
      <c r="DQ61">
        <f t="shared" si="194"/>
        <v>0</v>
      </c>
      <c r="DR61">
        <f t="shared" si="195"/>
        <v>0</v>
      </c>
      <c r="DU61" t="e">
        <f t="shared" si="196"/>
        <v>#VALUE!</v>
      </c>
    </row>
    <row r="62" spans="1:125" ht="17.25" x14ac:dyDescent="0.3">
      <c r="A62" s="72">
        <f t="shared" si="181"/>
        <v>4.41</v>
      </c>
      <c r="B62" s="113"/>
      <c r="C62" s="28"/>
      <c r="D62" s="408">
        <v>2</v>
      </c>
      <c r="E62" s="72"/>
      <c r="F62" s="113"/>
      <c r="G62" s="113"/>
      <c r="H62" s="113"/>
      <c r="I62" s="314"/>
      <c r="J62" s="142" t="s">
        <v>210</v>
      </c>
      <c r="K62" s="213">
        <v>1</v>
      </c>
      <c r="L62" s="72"/>
      <c r="M62" s="27">
        <f t="shared" ref="M62:M63" si="203">IF(K62=0,1,0)</f>
        <v>0</v>
      </c>
      <c r="N62" s="118">
        <v>2.1</v>
      </c>
      <c r="O62" s="72">
        <v>2.1</v>
      </c>
      <c r="P62" s="72">
        <v>2.8</v>
      </c>
      <c r="Q62" s="72">
        <v>0.2</v>
      </c>
      <c r="R62" s="72">
        <v>0.35</v>
      </c>
      <c r="S62" s="222">
        <f t="shared" si="121"/>
        <v>12.347999999999999</v>
      </c>
      <c r="T62" s="290">
        <f t="shared" si="79"/>
        <v>4.7039999999999997</v>
      </c>
      <c r="U62" s="290">
        <f t="shared" si="80"/>
        <v>5.0259999999999998</v>
      </c>
      <c r="V62" s="290">
        <f t="shared" si="81"/>
        <v>1281.6299999999999</v>
      </c>
      <c r="W62" s="48"/>
      <c r="X62" s="250" t="s">
        <v>158</v>
      </c>
      <c r="Y62" s="14" t="str">
        <f t="shared" si="197"/>
        <v>ŽB. šachta</v>
      </c>
      <c r="Z62" s="16">
        <v>1</v>
      </c>
      <c r="AA62" s="16" t="s">
        <v>75</v>
      </c>
      <c r="AB62" s="181" t="s">
        <v>16</v>
      </c>
      <c r="AC62" s="260" t="str">
        <f t="shared" si="177"/>
        <v>Š37</v>
      </c>
      <c r="AD62" s="263">
        <f t="shared" si="198"/>
        <v>1</v>
      </c>
      <c r="AE62" s="37" t="s">
        <v>184</v>
      </c>
      <c r="AF62" s="48" t="s">
        <v>184</v>
      </c>
      <c r="AG62" s="48">
        <f t="shared" si="122"/>
        <v>30.379999999999995</v>
      </c>
      <c r="AH62" s="48">
        <f t="shared" si="123"/>
        <v>30.379999999999995</v>
      </c>
      <c r="AI62" s="24" t="s">
        <v>184</v>
      </c>
      <c r="AJ62" s="307">
        <f t="shared" si="124"/>
        <v>60.759999999999991</v>
      </c>
      <c r="AK62" s="255" t="str">
        <f t="shared" si="74"/>
        <v>Š37</v>
      </c>
      <c r="AL62" s="28" t="s">
        <v>22</v>
      </c>
      <c r="AM62" s="25">
        <f t="shared" si="125"/>
        <v>55.86</v>
      </c>
      <c r="AN62" s="56">
        <f t="shared" si="182"/>
        <v>10.889999999999999</v>
      </c>
      <c r="AO62" s="251" t="s">
        <v>249</v>
      </c>
      <c r="AP62" s="194">
        <f t="shared" si="126"/>
        <v>0</v>
      </c>
      <c r="AQ62" s="208"/>
      <c r="AR62" s="203">
        <f t="shared" si="127"/>
        <v>0</v>
      </c>
      <c r="AS62" s="189"/>
      <c r="AT62" s="198">
        <f t="shared" si="178"/>
        <v>0</v>
      </c>
      <c r="AU62" s="199">
        <f t="shared" si="128"/>
        <v>13.067999999999998</v>
      </c>
      <c r="AV62" s="222">
        <f t="shared" si="129"/>
        <v>1.6334999999999997</v>
      </c>
      <c r="AW62" s="118"/>
      <c r="AX62" s="103">
        <f t="shared" si="179"/>
        <v>1.2</v>
      </c>
      <c r="AY62" s="192">
        <f t="shared" si="130"/>
        <v>10.889999999999999</v>
      </c>
      <c r="AZ62" s="192">
        <v>0.75</v>
      </c>
      <c r="BA62" s="192">
        <f t="shared" si="131"/>
        <v>28.177874999999993</v>
      </c>
      <c r="BB62" s="113">
        <f t="shared" si="132"/>
        <v>0</v>
      </c>
      <c r="BC62" s="113">
        <f t="shared" si="133"/>
        <v>18</v>
      </c>
      <c r="BD62" s="270">
        <f t="shared" si="173"/>
        <v>0</v>
      </c>
      <c r="BE62" s="228">
        <f t="shared" si="134"/>
        <v>16.510499999999993</v>
      </c>
      <c r="BF62" s="268">
        <v>2</v>
      </c>
      <c r="BG62" s="268">
        <f>BF62*IF(K62=0,0,N62-0.8)</f>
        <v>2.6</v>
      </c>
      <c r="BH62" s="118">
        <v>5</v>
      </c>
      <c r="BI62" s="72">
        <f t="shared" si="68"/>
        <v>150</v>
      </c>
      <c r="BJ62" s="256" t="str">
        <f t="shared" si="78"/>
        <v>Š37</v>
      </c>
      <c r="BK62" s="230">
        <f t="shared" si="83"/>
        <v>6.5</v>
      </c>
      <c r="BL62" s="3">
        <f t="shared" si="86"/>
        <v>1</v>
      </c>
      <c r="BM62" s="3">
        <f t="shared" si="87"/>
        <v>1</v>
      </c>
      <c r="BN62" s="10">
        <f t="shared" si="136"/>
        <v>0</v>
      </c>
      <c r="BO62" s="3">
        <f t="shared" si="137"/>
        <v>0</v>
      </c>
      <c r="BP62" s="3">
        <f t="shared" si="138"/>
        <v>0</v>
      </c>
      <c r="BQ62" s="3">
        <f t="shared" si="139"/>
        <v>1</v>
      </c>
      <c r="BR62" s="3">
        <f t="shared" si="140"/>
        <v>0</v>
      </c>
      <c r="BS62" s="3">
        <f t="shared" si="141"/>
        <v>0</v>
      </c>
      <c r="BT62" s="3"/>
      <c r="BU62" s="3">
        <f t="shared" si="142"/>
        <v>1</v>
      </c>
      <c r="BV62" s="3">
        <f t="shared" si="143"/>
        <v>0</v>
      </c>
      <c r="BW62" s="3">
        <f t="shared" si="144"/>
        <v>0</v>
      </c>
      <c r="BX62" s="3">
        <f t="shared" si="145"/>
        <v>0</v>
      </c>
      <c r="BY62" s="3">
        <f t="shared" si="146"/>
        <v>0</v>
      </c>
      <c r="BZ62" s="3">
        <f t="shared" si="147"/>
        <v>0</v>
      </c>
      <c r="CA62" s="3">
        <f t="shared" si="148"/>
        <v>0</v>
      </c>
      <c r="CB62" s="3">
        <f t="shared" si="149"/>
        <v>0</v>
      </c>
      <c r="CC62" s="3">
        <f t="shared" si="150"/>
        <v>0</v>
      </c>
      <c r="CD62" s="3">
        <f t="shared" si="151"/>
        <v>0</v>
      </c>
      <c r="CE62" s="3">
        <f t="shared" si="152"/>
        <v>0</v>
      </c>
      <c r="CF62" s="3">
        <f t="shared" si="153"/>
        <v>0</v>
      </c>
      <c r="CG62" s="3">
        <f t="shared" si="88"/>
        <v>1</v>
      </c>
      <c r="CH62" s="3">
        <f t="shared" si="89"/>
        <v>0</v>
      </c>
      <c r="CI62" s="3"/>
      <c r="CJ62" s="3">
        <f t="shared" si="154"/>
        <v>13.690000000000001</v>
      </c>
      <c r="CK62" s="3">
        <f t="shared" si="155"/>
        <v>32.49</v>
      </c>
      <c r="CL62" s="3">
        <f t="shared" si="90"/>
        <v>444.78810000000004</v>
      </c>
      <c r="CM62" s="3">
        <f t="shared" si="91"/>
        <v>21.09</v>
      </c>
      <c r="CN62" s="10">
        <f t="shared" si="156"/>
        <v>3.15</v>
      </c>
      <c r="CO62" s="3">
        <f t="shared" si="157"/>
        <v>70.633500000000012</v>
      </c>
      <c r="CP62" s="3">
        <f t="shared" si="92"/>
        <v>35.316750000000006</v>
      </c>
      <c r="CQ62" s="3">
        <f t="shared" si="93"/>
        <v>0.5</v>
      </c>
      <c r="CR62" s="3">
        <f t="shared" si="180"/>
        <v>0.5</v>
      </c>
      <c r="CS62" s="3"/>
      <c r="CT62" s="3">
        <f t="shared" si="158"/>
        <v>19.520750000000003</v>
      </c>
      <c r="CU62" s="3">
        <f t="shared" si="94"/>
        <v>19.520750000000003</v>
      </c>
      <c r="CV62" s="3"/>
      <c r="CW62" s="3"/>
      <c r="CX62" s="3"/>
      <c r="DD62" t="e">
        <f t="shared" si="183"/>
        <v>#VALUE!</v>
      </c>
      <c r="DE62" t="e">
        <f t="shared" si="184"/>
        <v>#VALUE!</v>
      </c>
      <c r="DF62" t="e">
        <f t="shared" si="185"/>
        <v>#VALUE!</v>
      </c>
      <c r="DG62">
        <f t="shared" si="186"/>
        <v>4.2184999999999979</v>
      </c>
      <c r="DH62">
        <f t="shared" si="187"/>
        <v>34.089999999999996</v>
      </c>
      <c r="DI62">
        <f t="shared" si="188"/>
        <v>191.3156784</v>
      </c>
      <c r="DJ62">
        <f t="shared" si="189"/>
        <v>286.97351759999998</v>
      </c>
      <c r="DK62">
        <f t="shared" si="190"/>
        <v>510.17514239999997</v>
      </c>
      <c r="DL62">
        <f t="shared" si="191"/>
        <v>23.625</v>
      </c>
      <c r="DN62">
        <f t="shared" si="192"/>
        <v>765.26271359999998</v>
      </c>
      <c r="DP62">
        <f t="shared" si="193"/>
        <v>0</v>
      </c>
      <c r="DQ62">
        <f t="shared" si="194"/>
        <v>0</v>
      </c>
      <c r="DR62">
        <f t="shared" si="195"/>
        <v>0</v>
      </c>
      <c r="DU62" t="e">
        <f t="shared" si="196"/>
        <v>#VALUE!</v>
      </c>
    </row>
    <row r="63" spans="1:125" ht="17.25" x14ac:dyDescent="0.3">
      <c r="A63" s="72">
        <f t="shared" si="181"/>
        <v>1.4015359999999999</v>
      </c>
      <c r="B63" s="113"/>
      <c r="C63" s="28">
        <v>8</v>
      </c>
      <c r="D63" s="118"/>
      <c r="E63" s="72"/>
      <c r="F63" s="113"/>
      <c r="G63" s="113"/>
      <c r="H63" s="113"/>
      <c r="I63" s="315"/>
      <c r="J63" s="142" t="s">
        <v>211</v>
      </c>
      <c r="K63" s="320">
        <v>0</v>
      </c>
      <c r="L63" s="72"/>
      <c r="M63" s="323">
        <f t="shared" si="203"/>
        <v>1</v>
      </c>
      <c r="N63" s="118">
        <v>1.4359999999999999</v>
      </c>
      <c r="O63" s="72">
        <v>0.97599999999999998</v>
      </c>
      <c r="P63" s="72">
        <v>1.35</v>
      </c>
      <c r="Q63" s="72"/>
      <c r="R63" s="72"/>
      <c r="S63" s="222">
        <f t="shared" si="121"/>
        <v>1.8920736</v>
      </c>
      <c r="T63" s="290">
        <f t="shared" si="79"/>
        <v>0</v>
      </c>
      <c r="U63" s="290">
        <f t="shared" si="80"/>
        <v>0</v>
      </c>
      <c r="V63" s="290">
        <f t="shared" si="81"/>
        <v>0</v>
      </c>
      <c r="W63" s="48"/>
      <c r="X63" s="250" t="s">
        <v>158</v>
      </c>
      <c r="Y63" s="14" t="str">
        <f t="shared" si="197"/>
        <v>pro pl. šachtu</v>
      </c>
      <c r="Z63" s="16">
        <v>1</v>
      </c>
      <c r="AA63" s="16" t="s">
        <v>75</v>
      </c>
      <c r="AB63" s="181" t="s">
        <v>16</v>
      </c>
      <c r="AC63" s="260" t="str">
        <f t="shared" si="177"/>
        <v>Š38</v>
      </c>
      <c r="AD63" s="263">
        <f t="shared" si="198"/>
        <v>0</v>
      </c>
      <c r="AE63" s="37" t="s">
        <v>249</v>
      </c>
      <c r="AF63" s="48" t="s">
        <v>249</v>
      </c>
      <c r="AG63" s="48">
        <f t="shared" si="122"/>
        <v>0</v>
      </c>
      <c r="AH63" s="48">
        <f t="shared" si="123"/>
        <v>0</v>
      </c>
      <c r="AI63" s="24" t="s">
        <v>249</v>
      </c>
      <c r="AJ63" s="307">
        <f t="shared" si="124"/>
        <v>0</v>
      </c>
      <c r="AK63" s="255" t="str">
        <f t="shared" si="74"/>
        <v>Š38</v>
      </c>
      <c r="AL63" s="28" t="s">
        <v>22</v>
      </c>
      <c r="AM63" s="25">
        <f t="shared" si="125"/>
        <v>15.827872000000001</v>
      </c>
      <c r="AN63" s="56">
        <f t="shared" si="182"/>
        <v>3.579936</v>
      </c>
      <c r="AO63" s="251" t="s">
        <v>249</v>
      </c>
      <c r="AP63" s="194">
        <f t="shared" si="126"/>
        <v>0</v>
      </c>
      <c r="AQ63" s="208"/>
      <c r="AR63" s="203">
        <f t="shared" si="127"/>
        <v>0</v>
      </c>
      <c r="AS63" s="189"/>
      <c r="AT63" s="198">
        <f t="shared" si="178"/>
        <v>1.5</v>
      </c>
      <c r="AU63" s="199">
        <f t="shared" si="128"/>
        <v>0</v>
      </c>
      <c r="AV63" s="222">
        <f t="shared" si="129"/>
        <v>0.35799360000000002</v>
      </c>
      <c r="AW63" s="118"/>
      <c r="AX63" s="103">
        <f t="shared" si="179"/>
        <v>0.7</v>
      </c>
      <c r="AY63" s="192">
        <f t="shared" si="130"/>
        <v>3.579936</v>
      </c>
      <c r="AZ63" s="192">
        <v>0.5</v>
      </c>
      <c r="BA63" s="192">
        <f t="shared" si="131"/>
        <v>2.9534472000000003</v>
      </c>
      <c r="BB63" s="113">
        <f t="shared" si="132"/>
        <v>0</v>
      </c>
      <c r="BC63" s="113">
        <f t="shared" si="133"/>
        <v>0</v>
      </c>
      <c r="BD63" s="270">
        <f t="shared" si="173"/>
        <v>1.3029999999999999</v>
      </c>
      <c r="BE63" s="228">
        <f t="shared" si="134"/>
        <v>2.5828464000000002</v>
      </c>
      <c r="BF63" s="268">
        <f t="shared" ref="BF63:BG65" si="204">CEILING(IF(K63=0,0,N63-0.8+O63-0.8),1)</f>
        <v>0</v>
      </c>
      <c r="BG63" s="268">
        <f t="shared" si="204"/>
        <v>0</v>
      </c>
      <c r="BH63" s="118"/>
      <c r="BI63" s="72">
        <f t="shared" si="68"/>
        <v>0</v>
      </c>
      <c r="BJ63" s="256" t="str">
        <f t="shared" si="78"/>
        <v>Š38</v>
      </c>
      <c r="BK63" s="230">
        <f t="shared" si="83"/>
        <v>0</v>
      </c>
      <c r="BL63" s="3">
        <f t="shared" si="86"/>
        <v>0</v>
      </c>
      <c r="BM63" s="3">
        <f t="shared" si="87"/>
        <v>0</v>
      </c>
      <c r="BN63" s="10">
        <f t="shared" si="136"/>
        <v>0</v>
      </c>
      <c r="BO63" s="3">
        <f t="shared" si="137"/>
        <v>0</v>
      </c>
      <c r="BP63" s="3">
        <f t="shared" si="138"/>
        <v>0</v>
      </c>
      <c r="BQ63" s="3">
        <f t="shared" si="139"/>
        <v>0</v>
      </c>
      <c r="BR63" s="3">
        <f t="shared" si="140"/>
        <v>0</v>
      </c>
      <c r="BS63" s="3">
        <f t="shared" si="141"/>
        <v>0</v>
      </c>
      <c r="BT63" s="3"/>
      <c r="BU63" s="3">
        <f t="shared" si="142"/>
        <v>0</v>
      </c>
      <c r="BV63" s="3">
        <f t="shared" si="143"/>
        <v>0</v>
      </c>
      <c r="BW63" s="3">
        <f t="shared" si="144"/>
        <v>0</v>
      </c>
      <c r="BX63" s="3">
        <f t="shared" si="145"/>
        <v>0</v>
      </c>
      <c r="BY63" s="3">
        <f t="shared" si="146"/>
        <v>0</v>
      </c>
      <c r="BZ63" s="3">
        <f t="shared" si="147"/>
        <v>0</v>
      </c>
      <c r="CA63" s="3">
        <f t="shared" si="148"/>
        <v>1.35</v>
      </c>
      <c r="CB63" s="3">
        <f t="shared" si="149"/>
        <v>0</v>
      </c>
      <c r="CC63" s="3">
        <f t="shared" si="150"/>
        <v>0</v>
      </c>
      <c r="CD63" s="3">
        <f t="shared" si="151"/>
        <v>0</v>
      </c>
      <c r="CE63" s="3">
        <f t="shared" si="152"/>
        <v>0</v>
      </c>
      <c r="CF63" s="3">
        <f t="shared" si="153"/>
        <v>0</v>
      </c>
      <c r="CG63" s="3">
        <f t="shared" si="88"/>
        <v>1</v>
      </c>
      <c r="CH63" s="3">
        <f t="shared" si="89"/>
        <v>0</v>
      </c>
      <c r="CI63" s="3"/>
      <c r="CJ63" s="3">
        <f t="shared" si="154"/>
        <v>7.8207360000000001</v>
      </c>
      <c r="CK63" s="3">
        <f t="shared" si="155"/>
        <v>23.044736</v>
      </c>
      <c r="CL63" s="3">
        <f t="shared" si="90"/>
        <v>180.22679644569601</v>
      </c>
      <c r="CM63" s="3">
        <f t="shared" si="91"/>
        <v>13.424857408765876</v>
      </c>
      <c r="CN63" s="10">
        <f t="shared" si="156"/>
        <v>1.35</v>
      </c>
      <c r="CO63" s="3">
        <f t="shared" si="157"/>
        <v>19.930648233944645</v>
      </c>
      <c r="CP63" s="3">
        <f t="shared" si="92"/>
        <v>0</v>
      </c>
      <c r="CQ63" s="3">
        <f t="shared" si="93"/>
        <v>0</v>
      </c>
      <c r="CR63" s="3">
        <f t="shared" si="180"/>
        <v>0</v>
      </c>
      <c r="CS63" s="3"/>
      <c r="CT63" s="3">
        <f t="shared" si="158"/>
        <v>-2.7897072000000001</v>
      </c>
      <c r="CU63" s="3">
        <f t="shared" si="94"/>
        <v>0</v>
      </c>
      <c r="CV63" s="3"/>
      <c r="CW63" s="3"/>
      <c r="CX63" s="3"/>
      <c r="DD63" t="e">
        <f t="shared" si="183"/>
        <v>#VALUE!</v>
      </c>
      <c r="DE63" t="e">
        <f t="shared" si="184"/>
        <v>#VALUE!</v>
      </c>
      <c r="DF63" t="e">
        <f t="shared" si="185"/>
        <v>#VALUE!</v>
      </c>
      <c r="DG63">
        <f t="shared" si="186"/>
        <v>0</v>
      </c>
      <c r="DH63">
        <f t="shared" si="187"/>
        <v>9.3154719999999998</v>
      </c>
      <c r="DI63">
        <f t="shared" si="188"/>
        <v>55.108096638720006</v>
      </c>
      <c r="DJ63">
        <f t="shared" si="189"/>
        <v>82.662144958080006</v>
      </c>
      <c r="DK63">
        <f t="shared" si="190"/>
        <v>146.95492436992001</v>
      </c>
      <c r="DL63">
        <f t="shared" si="191"/>
        <v>7.7111999999999998</v>
      </c>
      <c r="DN63">
        <f t="shared" si="192"/>
        <v>220.43238655488003</v>
      </c>
      <c r="DP63">
        <f t="shared" si="193"/>
        <v>0</v>
      </c>
      <c r="DQ63">
        <f t="shared" si="194"/>
        <v>0</v>
      </c>
      <c r="DR63">
        <f t="shared" si="195"/>
        <v>0</v>
      </c>
      <c r="DU63" t="e">
        <f t="shared" si="196"/>
        <v>#VALUE!</v>
      </c>
    </row>
    <row r="64" spans="1:125" ht="17.25" x14ac:dyDescent="0.3">
      <c r="A64" s="72">
        <f t="shared" si="181"/>
        <v>1.755625</v>
      </c>
      <c r="B64" s="113"/>
      <c r="C64" s="28">
        <v>2</v>
      </c>
      <c r="D64" s="118"/>
      <c r="E64" s="72"/>
      <c r="F64" s="113"/>
      <c r="G64" s="113"/>
      <c r="H64" s="113"/>
      <c r="I64" s="314"/>
      <c r="J64" s="142" t="s">
        <v>212</v>
      </c>
      <c r="K64" s="320">
        <v>0</v>
      </c>
      <c r="L64" s="72"/>
      <c r="M64" s="323">
        <f t="shared" ref="M64:M65" si="205">IF(K64=0,1,0)</f>
        <v>1</v>
      </c>
      <c r="N64" s="118">
        <v>1.325</v>
      </c>
      <c r="O64" s="72">
        <v>1.325</v>
      </c>
      <c r="P64" s="72">
        <v>1.35</v>
      </c>
      <c r="Q64" s="72"/>
      <c r="R64" s="72"/>
      <c r="S64" s="222">
        <f t="shared" si="121"/>
        <v>2.3700937500000001</v>
      </c>
      <c r="T64" s="290">
        <f t="shared" si="79"/>
        <v>0</v>
      </c>
      <c r="U64" s="290">
        <f t="shared" si="80"/>
        <v>0</v>
      </c>
      <c r="V64" s="290">
        <f t="shared" si="81"/>
        <v>0</v>
      </c>
      <c r="W64" s="48"/>
      <c r="X64" s="250" t="s">
        <v>158</v>
      </c>
      <c r="Y64" s="14" t="str">
        <f t="shared" si="197"/>
        <v>pro pl. šachtu</v>
      </c>
      <c r="Z64" s="16">
        <v>1</v>
      </c>
      <c r="AA64" s="16" t="s">
        <v>75</v>
      </c>
      <c r="AB64" s="181" t="s">
        <v>16</v>
      </c>
      <c r="AC64" s="260" t="str">
        <f t="shared" si="177"/>
        <v>Š39</v>
      </c>
      <c r="AD64" s="263">
        <f t="shared" si="198"/>
        <v>0</v>
      </c>
      <c r="AE64" s="37" t="s">
        <v>249</v>
      </c>
      <c r="AF64" s="48" t="s">
        <v>249</v>
      </c>
      <c r="AG64" s="48">
        <f t="shared" si="122"/>
        <v>0</v>
      </c>
      <c r="AH64" s="48">
        <f t="shared" si="123"/>
        <v>0</v>
      </c>
      <c r="AI64" s="24" t="s">
        <v>249</v>
      </c>
      <c r="AJ64" s="307">
        <f t="shared" si="124"/>
        <v>0</v>
      </c>
      <c r="AK64" s="255" t="str">
        <f t="shared" si="74"/>
        <v>Š39</v>
      </c>
      <c r="AL64" s="28" t="s">
        <v>22</v>
      </c>
      <c r="AM64" s="25">
        <f t="shared" si="125"/>
        <v>17.821249999999999</v>
      </c>
      <c r="AN64" s="56">
        <f t="shared" si="182"/>
        <v>4.100625</v>
      </c>
      <c r="AO64" s="251" t="s">
        <v>249</v>
      </c>
      <c r="AP64" s="194">
        <f t="shared" si="126"/>
        <v>0</v>
      </c>
      <c r="AQ64" s="208"/>
      <c r="AR64" s="203">
        <f t="shared" si="127"/>
        <v>0</v>
      </c>
      <c r="AS64" s="189"/>
      <c r="AT64" s="198">
        <f t="shared" si="178"/>
        <v>1.5</v>
      </c>
      <c r="AU64" s="199">
        <f t="shared" si="128"/>
        <v>0</v>
      </c>
      <c r="AV64" s="222">
        <f t="shared" si="129"/>
        <v>0.4100625</v>
      </c>
      <c r="AW64" s="118"/>
      <c r="AX64" s="103">
        <f t="shared" si="179"/>
        <v>0.7</v>
      </c>
      <c r="AY64" s="192">
        <f t="shared" si="130"/>
        <v>4.100625</v>
      </c>
      <c r="AZ64" s="192">
        <v>0</v>
      </c>
      <c r="BA64" s="192">
        <f t="shared" si="131"/>
        <v>0</v>
      </c>
      <c r="BB64" s="113">
        <f t="shared" si="132"/>
        <v>0</v>
      </c>
      <c r="BC64" s="113">
        <f t="shared" si="133"/>
        <v>0</v>
      </c>
      <c r="BD64" s="270">
        <f t="shared" si="173"/>
        <v>1.3624999999999998</v>
      </c>
      <c r="BE64" s="228">
        <f t="shared" si="134"/>
        <v>2.7556875000000005</v>
      </c>
      <c r="BF64" s="268">
        <f t="shared" si="204"/>
        <v>0</v>
      </c>
      <c r="BG64" s="268">
        <f t="shared" si="204"/>
        <v>0</v>
      </c>
      <c r="BH64" s="118"/>
      <c r="BI64" s="72">
        <f t="shared" si="68"/>
        <v>0</v>
      </c>
      <c r="BJ64" s="256" t="str">
        <f t="shared" si="78"/>
        <v>Š39</v>
      </c>
      <c r="BK64" s="230">
        <f t="shared" si="83"/>
        <v>0</v>
      </c>
      <c r="BL64" s="3">
        <f t="shared" si="86"/>
        <v>0</v>
      </c>
      <c r="BM64" s="3">
        <f t="shared" si="87"/>
        <v>0</v>
      </c>
      <c r="BN64" s="10">
        <f t="shared" si="136"/>
        <v>0</v>
      </c>
      <c r="BO64" s="3">
        <f t="shared" si="137"/>
        <v>0</v>
      </c>
      <c r="BP64" s="3">
        <f t="shared" si="138"/>
        <v>0</v>
      </c>
      <c r="BQ64" s="3">
        <f t="shared" si="139"/>
        <v>0</v>
      </c>
      <c r="BR64" s="3">
        <f t="shared" si="140"/>
        <v>0</v>
      </c>
      <c r="BS64" s="3">
        <f t="shared" si="141"/>
        <v>0</v>
      </c>
      <c r="BT64" s="3"/>
      <c r="BU64" s="3">
        <f t="shared" si="142"/>
        <v>0</v>
      </c>
      <c r="BV64" s="3">
        <f t="shared" si="143"/>
        <v>0</v>
      </c>
      <c r="BW64" s="3">
        <f t="shared" si="144"/>
        <v>0</v>
      </c>
      <c r="BX64" s="3">
        <f t="shared" si="145"/>
        <v>0</v>
      </c>
      <c r="BY64" s="3">
        <f t="shared" si="146"/>
        <v>0</v>
      </c>
      <c r="BZ64" s="3">
        <f t="shared" si="147"/>
        <v>0</v>
      </c>
      <c r="CA64" s="3">
        <f t="shared" si="148"/>
        <v>1.35</v>
      </c>
      <c r="CB64" s="3">
        <f t="shared" si="149"/>
        <v>0</v>
      </c>
      <c r="CC64" s="3">
        <f t="shared" si="150"/>
        <v>0</v>
      </c>
      <c r="CD64" s="3">
        <f t="shared" si="151"/>
        <v>0</v>
      </c>
      <c r="CE64" s="3">
        <f t="shared" si="152"/>
        <v>0</v>
      </c>
      <c r="CF64" s="3">
        <f t="shared" si="153"/>
        <v>0</v>
      </c>
      <c r="CG64" s="3">
        <f t="shared" si="88"/>
        <v>1</v>
      </c>
      <c r="CH64" s="3">
        <f t="shared" si="89"/>
        <v>0</v>
      </c>
      <c r="CI64" s="3"/>
      <c r="CJ64" s="3">
        <f t="shared" si="154"/>
        <v>8.5556249999999991</v>
      </c>
      <c r="CK64" s="3">
        <f t="shared" si="155"/>
        <v>24.255624999999998</v>
      </c>
      <c r="CL64" s="3">
        <f t="shared" si="90"/>
        <v>207.52203164062496</v>
      </c>
      <c r="CM64" s="3">
        <f t="shared" si="91"/>
        <v>14.405624999999999</v>
      </c>
      <c r="CN64" s="10">
        <f t="shared" si="156"/>
        <v>1.35</v>
      </c>
      <c r="CO64" s="3">
        <f t="shared" si="157"/>
        <v>21.24759375</v>
      </c>
      <c r="CP64" s="3">
        <f t="shared" si="92"/>
        <v>0</v>
      </c>
      <c r="CQ64" s="3">
        <f t="shared" si="93"/>
        <v>0</v>
      </c>
      <c r="CR64" s="3">
        <f t="shared" si="180"/>
        <v>0</v>
      </c>
      <c r="CS64" s="3"/>
      <c r="CT64" s="3">
        <f t="shared" si="158"/>
        <v>-3.3721562499999997</v>
      </c>
      <c r="CU64" s="3">
        <f t="shared" si="94"/>
        <v>0</v>
      </c>
      <c r="CV64" s="3"/>
      <c r="CW64" s="3"/>
      <c r="CX64" s="3"/>
      <c r="DD64" t="e">
        <f t="shared" si="183"/>
        <v>#VALUE!</v>
      </c>
      <c r="DE64" t="e">
        <f t="shared" si="184"/>
        <v>#VALUE!</v>
      </c>
      <c r="DF64" t="e">
        <f t="shared" si="185"/>
        <v>#VALUE!</v>
      </c>
      <c r="DG64">
        <f t="shared" si="186"/>
        <v>0</v>
      </c>
      <c r="DH64">
        <f t="shared" si="187"/>
        <v>10.66625</v>
      </c>
      <c r="DI64">
        <f t="shared" si="188"/>
        <v>63.098975100000004</v>
      </c>
      <c r="DJ64">
        <f t="shared" si="189"/>
        <v>94.648462649999999</v>
      </c>
      <c r="DK64">
        <f t="shared" si="190"/>
        <v>168.2639336</v>
      </c>
      <c r="DL64">
        <f t="shared" si="191"/>
        <v>8.0325000000000006</v>
      </c>
      <c r="DN64">
        <f t="shared" si="192"/>
        <v>252.39590040000002</v>
      </c>
      <c r="DP64">
        <f t="shared" si="193"/>
        <v>0</v>
      </c>
      <c r="DQ64">
        <f t="shared" si="194"/>
        <v>0</v>
      </c>
      <c r="DR64">
        <f t="shared" si="195"/>
        <v>0</v>
      </c>
      <c r="DU64" t="e">
        <f t="shared" si="196"/>
        <v>#VALUE!</v>
      </c>
    </row>
    <row r="65" spans="1:125" ht="17.25" x14ac:dyDescent="0.3">
      <c r="A65" s="72">
        <f t="shared" si="181"/>
        <v>1.755625</v>
      </c>
      <c r="B65" s="113"/>
      <c r="C65" s="28">
        <v>7</v>
      </c>
      <c r="D65" s="118"/>
      <c r="E65" s="72"/>
      <c r="F65" s="113"/>
      <c r="G65" s="113"/>
      <c r="H65" s="113"/>
      <c r="I65" s="314"/>
      <c r="J65" s="142" t="s">
        <v>213</v>
      </c>
      <c r="K65" s="320">
        <v>0</v>
      </c>
      <c r="L65" s="72"/>
      <c r="M65" s="323">
        <f t="shared" si="205"/>
        <v>1</v>
      </c>
      <c r="N65" s="118">
        <v>1.325</v>
      </c>
      <c r="O65" s="72">
        <v>1.325</v>
      </c>
      <c r="P65" s="72">
        <v>1.35</v>
      </c>
      <c r="Q65" s="72"/>
      <c r="R65" s="72"/>
      <c r="S65" s="222">
        <f t="shared" si="121"/>
        <v>2.3700937500000001</v>
      </c>
      <c r="T65" s="290">
        <f t="shared" si="79"/>
        <v>0</v>
      </c>
      <c r="U65" s="290">
        <f t="shared" si="80"/>
        <v>0</v>
      </c>
      <c r="V65" s="290">
        <f t="shared" si="81"/>
        <v>0</v>
      </c>
      <c r="W65" s="48"/>
      <c r="X65" s="250" t="s">
        <v>158</v>
      </c>
      <c r="Y65" s="14" t="str">
        <f t="shared" si="197"/>
        <v>pro pl. šachtu</v>
      </c>
      <c r="Z65" s="16">
        <v>1</v>
      </c>
      <c r="AA65" s="16" t="s">
        <v>75</v>
      </c>
      <c r="AB65" s="181" t="s">
        <v>16</v>
      </c>
      <c r="AC65" s="260" t="str">
        <f t="shared" si="177"/>
        <v>Š40</v>
      </c>
      <c r="AD65" s="263">
        <f t="shared" si="198"/>
        <v>0</v>
      </c>
      <c r="AE65" s="37" t="s">
        <v>23</v>
      </c>
      <c r="AF65" s="48" t="s">
        <v>249</v>
      </c>
      <c r="AG65" s="48">
        <f t="shared" si="122"/>
        <v>0</v>
      </c>
      <c r="AH65" s="48">
        <f t="shared" si="123"/>
        <v>0</v>
      </c>
      <c r="AI65" s="24" t="s">
        <v>23</v>
      </c>
      <c r="AJ65" s="307">
        <f t="shared" si="124"/>
        <v>0</v>
      </c>
      <c r="AK65" s="255" t="str">
        <f t="shared" si="74"/>
        <v>Š40</v>
      </c>
      <c r="AL65" s="28" t="s">
        <v>22</v>
      </c>
      <c r="AM65" s="25">
        <f t="shared" si="125"/>
        <v>17.821249999999999</v>
      </c>
      <c r="AN65" s="56">
        <f t="shared" si="182"/>
        <v>4.100625</v>
      </c>
      <c r="AO65" s="251" t="s">
        <v>249</v>
      </c>
      <c r="AP65" s="194">
        <f t="shared" si="126"/>
        <v>0</v>
      </c>
      <c r="AQ65" s="208"/>
      <c r="AR65" s="203">
        <f t="shared" si="127"/>
        <v>0</v>
      </c>
      <c r="AS65" s="189"/>
      <c r="AT65" s="198">
        <f t="shared" si="178"/>
        <v>1.5</v>
      </c>
      <c r="AU65" s="199">
        <f t="shared" si="128"/>
        <v>0</v>
      </c>
      <c r="AV65" s="222">
        <f t="shared" si="129"/>
        <v>0.4100625</v>
      </c>
      <c r="AW65" s="118"/>
      <c r="AX65" s="103">
        <f t="shared" si="179"/>
        <v>0.7</v>
      </c>
      <c r="AY65" s="192">
        <f t="shared" si="130"/>
        <v>4.100625</v>
      </c>
      <c r="AZ65" s="192">
        <v>0</v>
      </c>
      <c r="BA65" s="192">
        <f t="shared" si="131"/>
        <v>0</v>
      </c>
      <c r="BB65" s="113">
        <f t="shared" si="132"/>
        <v>0</v>
      </c>
      <c r="BC65" s="113">
        <f t="shared" si="133"/>
        <v>0</v>
      </c>
      <c r="BD65" s="270">
        <f t="shared" si="173"/>
        <v>1.3624999999999998</v>
      </c>
      <c r="BE65" s="228">
        <f t="shared" si="134"/>
        <v>2.7556875000000005</v>
      </c>
      <c r="BF65" s="268">
        <f t="shared" si="204"/>
        <v>0</v>
      </c>
      <c r="BG65" s="268">
        <f t="shared" si="204"/>
        <v>0</v>
      </c>
      <c r="BH65" s="118"/>
      <c r="BI65" s="72">
        <f t="shared" si="68"/>
        <v>0</v>
      </c>
      <c r="BJ65" s="256" t="str">
        <f t="shared" si="78"/>
        <v>Š40</v>
      </c>
      <c r="BK65" s="230">
        <f t="shared" si="83"/>
        <v>0</v>
      </c>
      <c r="BL65" s="3">
        <f t="shared" si="86"/>
        <v>0</v>
      </c>
      <c r="BM65" s="3">
        <f t="shared" si="87"/>
        <v>0</v>
      </c>
      <c r="BN65" s="10">
        <f t="shared" si="136"/>
        <v>0</v>
      </c>
      <c r="BO65" s="3">
        <f t="shared" si="137"/>
        <v>0</v>
      </c>
      <c r="BP65" s="3">
        <f t="shared" si="138"/>
        <v>0</v>
      </c>
      <c r="BQ65" s="3">
        <f t="shared" si="139"/>
        <v>0</v>
      </c>
      <c r="BR65" s="3">
        <f t="shared" si="140"/>
        <v>0</v>
      </c>
      <c r="BS65" s="3">
        <f t="shared" si="141"/>
        <v>0</v>
      </c>
      <c r="BT65" s="3"/>
      <c r="BU65" s="3">
        <f t="shared" si="142"/>
        <v>0</v>
      </c>
      <c r="BV65" s="3">
        <f t="shared" si="143"/>
        <v>0</v>
      </c>
      <c r="BW65" s="3">
        <f t="shared" si="144"/>
        <v>0</v>
      </c>
      <c r="BX65" s="3">
        <f t="shared" si="145"/>
        <v>0</v>
      </c>
      <c r="BY65" s="3">
        <f t="shared" si="146"/>
        <v>0</v>
      </c>
      <c r="BZ65" s="3">
        <f t="shared" si="147"/>
        <v>0</v>
      </c>
      <c r="CA65" s="3">
        <f t="shared" si="148"/>
        <v>1.35</v>
      </c>
      <c r="CB65" s="3">
        <f t="shared" si="149"/>
        <v>0</v>
      </c>
      <c r="CC65" s="3">
        <f t="shared" si="150"/>
        <v>0</v>
      </c>
      <c r="CD65" s="3">
        <f t="shared" si="151"/>
        <v>0</v>
      </c>
      <c r="CE65" s="3">
        <f t="shared" si="152"/>
        <v>0</v>
      </c>
      <c r="CF65" s="3">
        <f t="shared" si="153"/>
        <v>0</v>
      </c>
      <c r="CG65" s="3">
        <f t="shared" si="88"/>
        <v>1</v>
      </c>
      <c r="CH65" s="3">
        <f t="shared" si="89"/>
        <v>0</v>
      </c>
      <c r="CI65" s="3"/>
      <c r="CJ65" s="3">
        <f t="shared" si="154"/>
        <v>8.5556249999999991</v>
      </c>
      <c r="CK65" s="3">
        <f t="shared" si="155"/>
        <v>24.255624999999998</v>
      </c>
      <c r="CL65" s="3">
        <f t="shared" si="90"/>
        <v>207.52203164062496</v>
      </c>
      <c r="CM65" s="3">
        <f t="shared" si="91"/>
        <v>14.405624999999999</v>
      </c>
      <c r="CN65" s="10">
        <f t="shared" si="156"/>
        <v>1.35</v>
      </c>
      <c r="CO65" s="3">
        <f t="shared" si="157"/>
        <v>21.24759375</v>
      </c>
      <c r="CP65" s="3">
        <f t="shared" si="92"/>
        <v>0</v>
      </c>
      <c r="CQ65" s="3">
        <f t="shared" si="93"/>
        <v>0</v>
      </c>
      <c r="CR65" s="3">
        <f t="shared" si="180"/>
        <v>0</v>
      </c>
      <c r="CS65" s="3"/>
      <c r="CT65" s="3">
        <f t="shared" si="158"/>
        <v>-3.3721562499999997</v>
      </c>
      <c r="CU65" s="3">
        <f t="shared" si="94"/>
        <v>0</v>
      </c>
      <c r="CV65" s="3"/>
      <c r="CW65" s="3"/>
      <c r="CX65" s="3"/>
      <c r="DD65" t="e">
        <f t="shared" si="183"/>
        <v>#VALUE!</v>
      </c>
      <c r="DE65" t="e">
        <f t="shared" si="184"/>
        <v>#VALUE!</v>
      </c>
      <c r="DF65" t="e">
        <f t="shared" si="185"/>
        <v>#VALUE!</v>
      </c>
      <c r="DG65">
        <f t="shared" si="186"/>
        <v>0</v>
      </c>
      <c r="DH65">
        <f t="shared" si="187"/>
        <v>10.66625</v>
      </c>
      <c r="DI65">
        <f t="shared" si="188"/>
        <v>63.098975100000004</v>
      </c>
      <c r="DJ65">
        <f t="shared" si="189"/>
        <v>94.648462649999999</v>
      </c>
      <c r="DK65">
        <f t="shared" si="190"/>
        <v>168.2639336</v>
      </c>
      <c r="DL65">
        <f t="shared" si="191"/>
        <v>8.0325000000000006</v>
      </c>
      <c r="DN65">
        <f t="shared" si="192"/>
        <v>252.39590040000002</v>
      </c>
      <c r="DP65">
        <f t="shared" si="193"/>
        <v>0</v>
      </c>
      <c r="DQ65">
        <f t="shared" si="194"/>
        <v>0</v>
      </c>
      <c r="DR65">
        <f t="shared" si="195"/>
        <v>0</v>
      </c>
      <c r="DU65" t="e">
        <f t="shared" si="196"/>
        <v>#VALUE!</v>
      </c>
    </row>
    <row r="66" spans="1:125" ht="17.25" x14ac:dyDescent="0.3">
      <c r="A66" s="72">
        <f t="shared" si="181"/>
        <v>6.3000000000000007</v>
      </c>
      <c r="B66" s="113"/>
      <c r="C66" s="28"/>
      <c r="D66" s="118">
        <v>6</v>
      </c>
      <c r="E66" s="72"/>
      <c r="F66" s="113"/>
      <c r="G66" s="113"/>
      <c r="H66" s="113"/>
      <c r="I66" s="314"/>
      <c r="J66" s="142" t="s">
        <v>214</v>
      </c>
      <c r="K66" s="213">
        <v>1</v>
      </c>
      <c r="L66" s="72"/>
      <c r="M66" s="27">
        <f t="shared" si="103"/>
        <v>0</v>
      </c>
      <c r="N66" s="118">
        <v>3</v>
      </c>
      <c r="O66" s="72">
        <v>2.1</v>
      </c>
      <c r="P66" s="72">
        <v>4</v>
      </c>
      <c r="Q66" s="72">
        <v>0.2</v>
      </c>
      <c r="R66" s="72">
        <v>0.35</v>
      </c>
      <c r="S66" s="222">
        <f t="shared" si="121"/>
        <v>25.200000000000003</v>
      </c>
      <c r="T66" s="290">
        <f t="shared" si="79"/>
        <v>8.16</v>
      </c>
      <c r="U66" s="290">
        <f t="shared" si="80"/>
        <v>8.4820000000000011</v>
      </c>
      <c r="V66" s="290">
        <f t="shared" si="81"/>
        <v>2162.9100000000003</v>
      </c>
      <c r="W66" s="48"/>
      <c r="X66" s="250" t="s">
        <v>158</v>
      </c>
      <c r="Y66" s="14" t="str">
        <f t="shared" si="197"/>
        <v>ŽB. šachta</v>
      </c>
      <c r="Z66" s="16">
        <v>1</v>
      </c>
      <c r="AA66" s="16" t="s">
        <v>75</v>
      </c>
      <c r="AB66" s="181" t="s">
        <v>16</v>
      </c>
      <c r="AC66" s="260" t="str">
        <f t="shared" si="177"/>
        <v>Š41</v>
      </c>
      <c r="AD66" s="263">
        <f t="shared" si="198"/>
        <v>1</v>
      </c>
      <c r="AE66" s="37" t="s">
        <v>184</v>
      </c>
      <c r="AF66" s="48" t="s">
        <v>184</v>
      </c>
      <c r="AG66" s="48">
        <f t="shared" si="122"/>
        <v>43.400000000000006</v>
      </c>
      <c r="AH66" s="48">
        <f t="shared" si="123"/>
        <v>43.400000000000006</v>
      </c>
      <c r="AI66" s="24" t="s">
        <v>184</v>
      </c>
      <c r="AJ66" s="307">
        <f t="shared" si="124"/>
        <v>86.800000000000011</v>
      </c>
      <c r="AK66" s="255" t="str">
        <f t="shared" si="74"/>
        <v>Š41</v>
      </c>
      <c r="AL66" s="28" t="s">
        <v>22</v>
      </c>
      <c r="AM66" s="25">
        <f t="shared" si="125"/>
        <v>94.199999999999989</v>
      </c>
      <c r="AN66" s="56">
        <f t="shared" si="182"/>
        <v>13.86</v>
      </c>
      <c r="AO66" s="251" t="s">
        <v>22</v>
      </c>
      <c r="AP66" s="194">
        <f t="shared" si="126"/>
        <v>4.9759999999999991</v>
      </c>
      <c r="AQ66" s="208"/>
      <c r="AR66" s="203">
        <f t="shared" si="127"/>
        <v>0</v>
      </c>
      <c r="AS66" s="189"/>
      <c r="AT66" s="198">
        <f t="shared" si="178"/>
        <v>0</v>
      </c>
      <c r="AU66" s="199">
        <f t="shared" si="128"/>
        <v>16.631999999999998</v>
      </c>
      <c r="AV66" s="222">
        <f t="shared" si="129"/>
        <v>2.0789999999999997</v>
      </c>
      <c r="AW66" s="118"/>
      <c r="AX66" s="103">
        <f t="shared" si="179"/>
        <v>1.2</v>
      </c>
      <c r="AY66" s="192">
        <f t="shared" si="130"/>
        <v>13.86</v>
      </c>
      <c r="AZ66" s="192">
        <v>0.75</v>
      </c>
      <c r="BA66" s="192">
        <f t="shared" si="131"/>
        <v>48.336749999999995</v>
      </c>
      <c r="BB66" s="113">
        <f t="shared" si="132"/>
        <v>0</v>
      </c>
      <c r="BC66" s="113">
        <f t="shared" si="133"/>
        <v>19.8</v>
      </c>
      <c r="BD66" s="270">
        <f t="shared" si="173"/>
        <v>0</v>
      </c>
      <c r="BE66" s="228">
        <f t="shared" si="134"/>
        <v>28.160999999999994</v>
      </c>
      <c r="BF66" s="268">
        <v>2</v>
      </c>
      <c r="BG66" s="268">
        <f>BF66*IF(K66=0,0,N66-0.8)</f>
        <v>4.4000000000000004</v>
      </c>
      <c r="BH66" s="118">
        <v>5</v>
      </c>
      <c r="BI66" s="72">
        <f t="shared" si="68"/>
        <v>150</v>
      </c>
      <c r="BJ66" s="256" t="str">
        <f t="shared" si="78"/>
        <v>Š41</v>
      </c>
      <c r="BK66" s="230">
        <f t="shared" si="83"/>
        <v>11</v>
      </c>
      <c r="BL66" s="3">
        <f t="shared" si="86"/>
        <v>1</v>
      </c>
      <c r="BM66" s="3">
        <f t="shared" si="87"/>
        <v>1</v>
      </c>
      <c r="BN66" s="10">
        <f t="shared" si="136"/>
        <v>0</v>
      </c>
      <c r="BO66" s="3">
        <f t="shared" si="137"/>
        <v>0</v>
      </c>
      <c r="BP66" s="3">
        <f t="shared" si="138"/>
        <v>0</v>
      </c>
      <c r="BQ66" s="3">
        <f t="shared" si="139"/>
        <v>0</v>
      </c>
      <c r="BR66" s="3">
        <f t="shared" si="140"/>
        <v>0</v>
      </c>
      <c r="BS66" s="3">
        <f t="shared" si="141"/>
        <v>1</v>
      </c>
      <c r="BT66" s="3"/>
      <c r="BU66" s="3">
        <f t="shared" si="142"/>
        <v>0</v>
      </c>
      <c r="BV66" s="3">
        <f t="shared" si="143"/>
        <v>0</v>
      </c>
      <c r="BW66" s="3">
        <f t="shared" si="144"/>
        <v>1</v>
      </c>
      <c r="BX66" s="3">
        <f t="shared" si="145"/>
        <v>0</v>
      </c>
      <c r="BY66" s="3">
        <f t="shared" si="146"/>
        <v>0</v>
      </c>
      <c r="BZ66" s="3">
        <f t="shared" si="147"/>
        <v>0</v>
      </c>
      <c r="CA66" s="3">
        <f t="shared" si="148"/>
        <v>0</v>
      </c>
      <c r="CB66" s="3">
        <f t="shared" si="149"/>
        <v>0</v>
      </c>
      <c r="CC66" s="3">
        <f t="shared" si="150"/>
        <v>0</v>
      </c>
      <c r="CD66" s="3">
        <f t="shared" si="151"/>
        <v>0</v>
      </c>
      <c r="CE66" s="3">
        <f t="shared" si="152"/>
        <v>0</v>
      </c>
      <c r="CF66" s="3">
        <f t="shared" si="153"/>
        <v>0</v>
      </c>
      <c r="CG66" s="3">
        <f t="shared" si="88"/>
        <v>1</v>
      </c>
      <c r="CH66" s="3">
        <f t="shared" si="89"/>
        <v>1</v>
      </c>
      <c r="CI66" s="3"/>
      <c r="CJ66" s="3">
        <f t="shared" si="154"/>
        <v>17.02</v>
      </c>
      <c r="CK66" s="3">
        <f t="shared" si="155"/>
        <v>37.619999999999997</v>
      </c>
      <c r="CL66" s="3">
        <f t="shared" si="90"/>
        <v>640.29239999999993</v>
      </c>
      <c r="CM66" s="3">
        <f t="shared" si="91"/>
        <v>25.303999683844449</v>
      </c>
      <c r="CN66" s="10">
        <f t="shared" si="156"/>
        <v>4.3499999999999996</v>
      </c>
      <c r="CO66" s="3">
        <f t="shared" si="157"/>
        <v>115.91879954157446</v>
      </c>
      <c r="CP66" s="3">
        <f t="shared" si="92"/>
        <v>57.959399770787229</v>
      </c>
      <c r="CQ66" s="3">
        <f t="shared" si="93"/>
        <v>0.5</v>
      </c>
      <c r="CR66" s="3">
        <f t="shared" si="180"/>
        <v>0.5</v>
      </c>
      <c r="CS66" s="3"/>
      <c r="CT66" s="3">
        <f t="shared" si="158"/>
        <v>27.328399770787229</v>
      </c>
      <c r="CU66" s="3">
        <f t="shared" si="94"/>
        <v>27.328399770787229</v>
      </c>
      <c r="CV66" s="3"/>
      <c r="CW66" s="3"/>
      <c r="CX66" s="3"/>
      <c r="DD66" t="e">
        <f t="shared" si="183"/>
        <v>#VALUE!</v>
      </c>
      <c r="DE66" t="e">
        <f t="shared" si="184"/>
        <v>#VALUE!</v>
      </c>
      <c r="DF66" t="e">
        <f t="shared" si="185"/>
        <v>#VALUE!</v>
      </c>
      <c r="DG66">
        <f t="shared" si="186"/>
        <v>7.4329999999999981</v>
      </c>
      <c r="DH66">
        <f t="shared" si="187"/>
        <v>55.150000000000006</v>
      </c>
      <c r="DI66">
        <f t="shared" si="188"/>
        <v>315.90158400000007</v>
      </c>
      <c r="DJ66">
        <f t="shared" si="189"/>
        <v>473.85237600000011</v>
      </c>
      <c r="DK66">
        <f t="shared" si="190"/>
        <v>842.40422400000011</v>
      </c>
      <c r="DL66">
        <f t="shared" si="191"/>
        <v>36.54</v>
      </c>
      <c r="DN66">
        <f t="shared" si="192"/>
        <v>1263.6063360000003</v>
      </c>
      <c r="DP66">
        <f t="shared" si="193"/>
        <v>0</v>
      </c>
      <c r="DQ66">
        <f t="shared" si="194"/>
        <v>0</v>
      </c>
      <c r="DR66">
        <f t="shared" si="195"/>
        <v>0</v>
      </c>
      <c r="DU66" t="e">
        <f t="shared" si="196"/>
        <v>#VALUE!</v>
      </c>
    </row>
    <row r="67" spans="1:125" ht="17.25" x14ac:dyDescent="0.3">
      <c r="A67" s="72">
        <f t="shared" ref="A67" si="206">N67*O67</f>
        <v>1.4015359999999999</v>
      </c>
      <c r="B67" s="113"/>
      <c r="C67" s="28"/>
      <c r="D67" s="118"/>
      <c r="E67" s="72"/>
      <c r="F67" s="113"/>
      <c r="G67" s="113"/>
      <c r="H67" s="113"/>
      <c r="I67" s="314"/>
      <c r="J67" s="142" t="s">
        <v>305</v>
      </c>
      <c r="K67" s="320">
        <v>0</v>
      </c>
      <c r="L67" s="72"/>
      <c r="M67" s="323">
        <f t="shared" si="103"/>
        <v>1</v>
      </c>
      <c r="N67" s="118">
        <v>1.4359999999999999</v>
      </c>
      <c r="O67" s="72">
        <v>0.97599999999999998</v>
      </c>
      <c r="P67" s="72">
        <v>1.35</v>
      </c>
      <c r="Q67" s="72"/>
      <c r="R67" s="72"/>
      <c r="S67" s="222">
        <f t="shared" ref="S67" si="207">(K67+M67)*N67*O67*P67</f>
        <v>1.8920736</v>
      </c>
      <c r="T67" s="290">
        <f t="shared" ref="T67" si="208">(N67*P67*Q67)*2+(O67*P67*Q67)*2</f>
        <v>0</v>
      </c>
      <c r="U67" s="290">
        <f t="shared" ref="U67" si="209">T67+(Q67*R67*1.3)*2+(Q67*R67*1)*2</f>
        <v>0</v>
      </c>
      <c r="V67" s="290">
        <f t="shared" ref="V67" si="210">U67*255</f>
        <v>0</v>
      </c>
      <c r="W67" s="48"/>
      <c r="X67" s="250" t="s">
        <v>158</v>
      </c>
      <c r="Y67" s="14" t="str">
        <f t="shared" ref="Y67" si="211">IF(M67=1,"pro pl. šachtu",IF(K67=1,"ŽB. šachta",0))</f>
        <v>pro pl. šachtu</v>
      </c>
      <c r="Z67" s="16">
        <v>1</v>
      </c>
      <c r="AA67" s="16" t="s">
        <v>75</v>
      </c>
      <c r="AB67" s="181" t="s">
        <v>16</v>
      </c>
      <c r="AC67" s="260" t="str">
        <f t="shared" ref="AC67" si="212">J67</f>
        <v>Š41A</v>
      </c>
      <c r="AD67" s="263">
        <f t="shared" ref="AD67" si="213">K67</f>
        <v>0</v>
      </c>
      <c r="AE67" s="37" t="s">
        <v>23</v>
      </c>
      <c r="AF67" s="48" t="s">
        <v>249</v>
      </c>
      <c r="AG67" s="48">
        <f t="shared" ref="AG67" si="214">IF(AE67="ano",(N67*O67+O67*P67+N67+P67)*2,0)</f>
        <v>0</v>
      </c>
      <c r="AH67" s="48">
        <f t="shared" ref="AH67" si="215">IF(AF67="ano",(N67*O67+O67*P67+N67+P67)*2,0)</f>
        <v>0</v>
      </c>
      <c r="AI67" s="24" t="s">
        <v>23</v>
      </c>
      <c r="AJ67" s="307">
        <f t="shared" ref="AJ67" si="216">IF(AI67="ano",(N67*O67+O67*P67+N67+P67)*4,0)</f>
        <v>0</v>
      </c>
      <c r="AK67" s="255" t="str">
        <f t="shared" ref="AK67" si="217">J67</f>
        <v>Š41A</v>
      </c>
      <c r="AL67" s="28" t="s">
        <v>22</v>
      </c>
      <c r="AM67" s="25">
        <f t="shared" ref="AM67" si="218">IF(AL67="ano",2*((N67*P67+O67*P67)*2+N67*O67),0)</f>
        <v>15.827872000000001</v>
      </c>
      <c r="AN67" s="56">
        <f t="shared" ref="AN67" si="219">AY67</f>
        <v>3.579936</v>
      </c>
      <c r="AO67" s="251" t="s">
        <v>249</v>
      </c>
      <c r="AP67" s="194">
        <f t="shared" ref="AP67" si="220">IF(AO67="ano",IF(M67=1,2,1)*(K67+M67)*((N67+0.2)*(O67+0.2)*(P67+0.1)-N67*O67*P67),0)</f>
        <v>0</v>
      </c>
      <c r="AQ67" s="208"/>
      <c r="AR67" s="203">
        <f t="shared" ref="AR67" si="221">IF(AQ67="ano",K67*(N67*O67+2*N67*P67+2*O67*P67),0)</f>
        <v>0</v>
      </c>
      <c r="AS67" s="189"/>
      <c r="AT67" s="198">
        <f t="shared" ref="AT67" si="222">(M67*1.5)</f>
        <v>1.5</v>
      </c>
      <c r="AU67" s="199">
        <f t="shared" ref="AU67" si="223">K67*AY67*1.2</f>
        <v>0</v>
      </c>
      <c r="AV67" s="222">
        <f t="shared" ref="AV67" si="224">(K67+M67)*IF(K67=1,AY67*0.15,IF(K67=0,AY67*0.1,0))</f>
        <v>0.35799360000000002</v>
      </c>
      <c r="AW67" s="118"/>
      <c r="AX67" s="103">
        <f t="shared" ref="AX67" si="225">(K67+M67)*IF(K67=1,1.2,IF(K67=0,0.7,0))</f>
        <v>0.7</v>
      </c>
      <c r="AY67" s="192">
        <f t="shared" ref="AY67" si="226">(N67+AX67)*(O67+AX67)</f>
        <v>3.579936</v>
      </c>
      <c r="AZ67" s="192">
        <v>0</v>
      </c>
      <c r="BA67" s="192">
        <f t="shared" ref="BA67" si="227">AZ67*AY67*(P67+R67+0.3)</f>
        <v>0</v>
      </c>
      <c r="BB67" s="113">
        <f t="shared" ref="BB67" si="228">CEILING(6*IF(K67=0,0,IF(AA67="nástupiště",0,2*N67+2.4+2*O67))*(P67+R67),1)</f>
        <v>0</v>
      </c>
      <c r="BC67" s="113">
        <f t="shared" ref="BC67" si="229">IF(AA67="nástupiště",IF((P67+R67)&gt;2.5,2*((N67+2.4)+(O67+2.4)),0),0)</f>
        <v>0</v>
      </c>
      <c r="BD67" s="270">
        <f t="shared" ref="BD67" si="230">IF((BB67+BC67)&gt;0.01,0,IF(AA66="nástupiště",0.25*((N67+2*AX67)+(O67+2*AX67)),2*((N67+2*AX67)+(O67+2*AX67))))</f>
        <v>1.3029999999999999</v>
      </c>
      <c r="BE67" s="228">
        <f t="shared" ref="BE67" si="231">IF(AA67="terén",BA67-(AV67+N67*O67*P67),IF(AA67="nástupiště",AY67*P67-(AV67+N67*O67*P67),0))</f>
        <v>2.5828464000000002</v>
      </c>
      <c r="BF67" s="268">
        <f t="shared" ref="BF67" si="232">CEILING(IF(K67=0,0,N67-0.8+O67-0.8),1)</f>
        <v>0</v>
      </c>
      <c r="BG67" s="268">
        <f t="shared" ref="BG67" si="233">CEILING(IF(L67=0,0,O67-0.8+P67-0.8),1)</f>
        <v>0</v>
      </c>
      <c r="BH67" s="118"/>
      <c r="BI67" s="72">
        <f t="shared" ref="BI67" si="234">BF67*BH67*15</f>
        <v>0</v>
      </c>
      <c r="BJ67" s="256" t="str">
        <f t="shared" ref="BJ67" si="235">AK67</f>
        <v>Š41A</v>
      </c>
      <c r="BK67" s="230">
        <f t="shared" ref="BK67" si="236">BG67*BH67*0.5</f>
        <v>0</v>
      </c>
      <c r="BL67" s="3">
        <f t="shared" ref="BL67" si="237">IF(AE67="ANO",1,0)</f>
        <v>0</v>
      </c>
      <c r="BM67" s="3">
        <f t="shared" ref="BM67" si="238">IF(AI67="ANO",1,0)</f>
        <v>0</v>
      </c>
      <c r="BN67" s="10">
        <f t="shared" ref="BN67" si="239">K67-(BU67+BV67+BW67+BX67+BY67)</f>
        <v>0</v>
      </c>
      <c r="BO67" s="3">
        <f t="shared" ref="BO67" si="240">K67*IF(S67&lt;5,1,0)</f>
        <v>0</v>
      </c>
      <c r="BP67" s="3">
        <f t="shared" ref="BP67" si="241">K67*IF(S67&lt;10.001,IF(S67&gt;5,1,0),0)</f>
        <v>0</v>
      </c>
      <c r="BQ67" s="3">
        <f t="shared" ref="BQ67" si="242">K67*IF(S67&lt;15.001,IF(S67&gt;10,1,0),0)</f>
        <v>0</v>
      </c>
      <c r="BR67" s="3">
        <f t="shared" ref="BR67" si="243">K67*IF(S67&lt;20.001,IF(S67&gt;15,1,0),0)</f>
        <v>0</v>
      </c>
      <c r="BS67" s="3">
        <f t="shared" ref="BS67" si="244">K67*IF(S67&gt;20,1,0)</f>
        <v>0</v>
      </c>
      <c r="BT67" s="3"/>
      <c r="BU67" s="3">
        <f t="shared" si="142"/>
        <v>0</v>
      </c>
      <c r="BV67" s="3">
        <f t="shared" si="143"/>
        <v>0</v>
      </c>
      <c r="BW67" s="3">
        <f t="shared" si="144"/>
        <v>0</v>
      </c>
      <c r="BX67" s="3">
        <f t="shared" si="145"/>
        <v>0</v>
      </c>
      <c r="BY67" s="3">
        <f t="shared" si="146"/>
        <v>0</v>
      </c>
      <c r="BZ67" s="3">
        <f t="shared" si="147"/>
        <v>0</v>
      </c>
      <c r="CA67" s="3">
        <f t="shared" ref="CA67" si="245">M67*P67</f>
        <v>1.35</v>
      </c>
      <c r="CB67" s="3">
        <f t="shared" si="149"/>
        <v>0</v>
      </c>
      <c r="CC67" s="3">
        <f t="shared" si="150"/>
        <v>0</v>
      </c>
      <c r="CD67" s="3">
        <f t="shared" si="151"/>
        <v>0</v>
      </c>
      <c r="CE67" s="3">
        <f t="shared" si="152"/>
        <v>0</v>
      </c>
      <c r="CF67" s="3">
        <f t="shared" si="153"/>
        <v>0</v>
      </c>
      <c r="CG67" s="3">
        <f t="shared" ref="CG67" si="246">IF(AL67="ANO",1,0)</f>
        <v>1</v>
      </c>
      <c r="CH67" s="3">
        <f t="shared" ref="CH67" si="247">IF(AO67="ANO",1,0)</f>
        <v>0</v>
      </c>
      <c r="CI67" s="3"/>
      <c r="CJ67" s="3">
        <f t="shared" ref="CJ67" si="248">(N67+1.6)*(O67+1.6)*(K67+M67)</f>
        <v>7.8207360000000001</v>
      </c>
      <c r="CK67" s="3">
        <f t="shared" ref="CK67" si="249">(N67+1.6+2)*(O67+1.6+2)</f>
        <v>23.044736</v>
      </c>
      <c r="CL67" s="3">
        <f t="shared" ref="CL67" si="250">CJ67*CK67</f>
        <v>180.22679644569601</v>
      </c>
      <c r="CM67" s="3">
        <f t="shared" ref="CM67" si="251">SQRT(CL67)</f>
        <v>13.424857408765876</v>
      </c>
      <c r="CN67" s="10">
        <f t="shared" ref="CN67" si="252">(P67+R67)</f>
        <v>1.35</v>
      </c>
      <c r="CO67" s="3">
        <f t="shared" ref="CO67" si="253">(K67+M67)*(CN67/3)*(CJ67+CK67+CM67)</f>
        <v>19.930648233944645</v>
      </c>
      <c r="CP67" s="3">
        <f t="shared" ref="CP67" si="254">CO67*CQ67</f>
        <v>0</v>
      </c>
      <c r="CQ67" s="3">
        <f t="shared" ref="CQ67" si="255">IF(AA67="nástupiště",CR67,1)</f>
        <v>0</v>
      </c>
      <c r="CR67" s="3">
        <f t="shared" ref="CR67" si="256">IF(K67=1,0.5,0)</f>
        <v>0</v>
      </c>
      <c r="CS67" s="3"/>
      <c r="CT67" s="3">
        <f t="shared" ref="CT67" si="257">(CP67-((N67+0.2)*(O67+0.2)*(P67+0.1)+K67*(1.3*1*R67)))*(K67+M67)</f>
        <v>-2.7897072000000001</v>
      </c>
      <c r="CU67" s="3">
        <f t="shared" ref="CU67" si="258">IF(CT67&gt;0,CT67,0)</f>
        <v>0</v>
      </c>
      <c r="CV67" s="3"/>
      <c r="CW67" s="3"/>
      <c r="CX67" s="3"/>
      <c r="DD67" t="e">
        <f t="shared" ref="DD67" si="259">(N67+0.5+AE67/1.5)*(O67+0.9+AE67/1.5)*(P67+0.1-AE67)</f>
        <v>#VALUE!</v>
      </c>
      <c r="DE67" t="e">
        <f t="shared" ref="DE67" si="260">(N67+0.5+(0.35*AE67))*(O67+0.9+(0.35*AE67))*AE67</f>
        <v>#VALUE!</v>
      </c>
      <c r="DF67" t="e">
        <f t="shared" ref="DF67" si="261">K67*((2*N67*(P67-AC67))+(2*O67*(P67-AC67))+(N67+0.25)*(O67+0.25))</f>
        <v>#VALUE!</v>
      </c>
      <c r="DG67">
        <f t="shared" ref="DG67" si="262">((N67*O67*(P67-R67)-((N67-Q67*2)*(O67-Q67*2)*(P67-Q67*2))+((R67*1.1*1.4)-(R67*0.6*0.9)))*K67)</f>
        <v>0</v>
      </c>
      <c r="DH67">
        <f t="shared" ref="DH67" si="263">(2*N67*O67+2*N67*P67+2*O67*P67)+(2*R67*1.1+2*R67*1.4)</f>
        <v>9.3154719999999998</v>
      </c>
      <c r="DI67">
        <f t="shared" ref="DI67" si="264">2*(2*N67*O67+2*N67*P67+2*O67*P67)*7850*2*(0.003*0.003*3.14)*(1000/150)</f>
        <v>55.108096638720006</v>
      </c>
      <c r="DJ67">
        <f t="shared" ref="DJ67" si="265">2*(2*N67*O67+2*N67*P67+2*O67*P67)*7850*2*(0.003*0.003*3.14)*(1000/100)</f>
        <v>82.662144958080006</v>
      </c>
      <c r="DK67">
        <f t="shared" ref="DK67" si="266">2*(2*N67*O67+2*N67*P67+2*O67*P67)*7850*2*(0.004*0.004*3.14)*(1000/100)</f>
        <v>146.95492436992001</v>
      </c>
      <c r="DL67">
        <f t="shared" ref="DL67" si="267">(N67+1.5)*(P67+R67)+(O67+1.8)*(P67+R67)</f>
        <v>7.7111999999999998</v>
      </c>
      <c r="DN67">
        <f t="shared" ref="DN67" si="268">2*(2*N67*O67+2*N67*P67+2*O67*P67)*7850*2*(0.006*0.006*3.14)*(1000/150)</f>
        <v>220.43238655488003</v>
      </c>
      <c r="DP67">
        <f t="shared" ref="DP67" si="269">IF(K67=0,0,(N67+0.9)*(O67+1.1))*IF(AI67=1,7850*(0.003*0.003*3.14)*(1000/150),0)</f>
        <v>0</v>
      </c>
      <c r="DQ67">
        <f t="shared" ref="DQ67" si="270">IF(K67=0,0,(N67+0.9)*(O67+1.1))*IF(AI67=2,7850*(0.003*0.003*3.14)*(1000/100),0)</f>
        <v>0</v>
      </c>
      <c r="DR67">
        <f t="shared" ref="DR67" si="271">IF(K67=0,0,(N67+0.9)*(O67+1.1))*IF(AI67=3,7850*(0.004*0.004*3.14)*(1000/100),0)</f>
        <v>0</v>
      </c>
      <c r="DU67" t="e">
        <f t="shared" ref="DU67" si="272">(N67+0.6+0.6+(0.25*AE67))*(O67+0.6+0.6+(0.25*AE67))*AE67</f>
        <v>#VALUE!</v>
      </c>
    </row>
    <row r="68" spans="1:125" ht="17.25" x14ac:dyDescent="0.3">
      <c r="A68" s="72"/>
      <c r="B68" s="113"/>
      <c r="C68" s="28"/>
      <c r="D68" s="408">
        <v>10</v>
      </c>
      <c r="E68" s="72"/>
      <c r="F68" s="113"/>
      <c r="G68" s="113"/>
      <c r="H68" s="113"/>
      <c r="I68" s="314"/>
      <c r="J68" s="142" t="s">
        <v>155</v>
      </c>
      <c r="K68" s="213">
        <v>1</v>
      </c>
      <c r="L68" s="72"/>
      <c r="M68" s="27">
        <f t="shared" si="103"/>
        <v>0</v>
      </c>
      <c r="N68" s="118">
        <v>1.8</v>
      </c>
      <c r="O68" s="72">
        <v>1.7</v>
      </c>
      <c r="P68" s="72">
        <v>2.8</v>
      </c>
      <c r="Q68" s="72">
        <v>0.2</v>
      </c>
      <c r="R68" s="72">
        <v>0.35</v>
      </c>
      <c r="S68" s="222">
        <f t="shared" si="121"/>
        <v>8.5679999999999996</v>
      </c>
      <c r="T68" s="290">
        <f t="shared" si="79"/>
        <v>3.92</v>
      </c>
      <c r="U68" s="290">
        <f t="shared" si="80"/>
        <v>4.242</v>
      </c>
      <c r="V68" s="290">
        <f t="shared" si="81"/>
        <v>1081.71</v>
      </c>
      <c r="W68" s="48"/>
      <c r="X68" s="250" t="s">
        <v>158</v>
      </c>
      <c r="Y68" s="14" t="str">
        <f t="shared" si="197"/>
        <v>ŽB. šachta</v>
      </c>
      <c r="Z68" s="16">
        <v>1</v>
      </c>
      <c r="AA68" s="16" t="s">
        <v>75</v>
      </c>
      <c r="AB68" s="181" t="s">
        <v>247</v>
      </c>
      <c r="AC68" s="260" t="str">
        <f t="shared" si="177"/>
        <v>Š42</v>
      </c>
      <c r="AD68" s="263">
        <f t="shared" si="198"/>
        <v>1</v>
      </c>
      <c r="AE68" s="37" t="s">
        <v>184</v>
      </c>
      <c r="AF68" s="48" t="s">
        <v>184</v>
      </c>
      <c r="AG68" s="48">
        <f t="shared" si="122"/>
        <v>24.840000000000003</v>
      </c>
      <c r="AH68" s="48">
        <f t="shared" si="123"/>
        <v>24.840000000000003</v>
      </c>
      <c r="AI68" s="24" t="s">
        <v>184</v>
      </c>
      <c r="AJ68" s="307">
        <f t="shared" si="124"/>
        <v>49.680000000000007</v>
      </c>
      <c r="AK68" s="255" t="str">
        <f t="shared" si="74"/>
        <v>Š42</v>
      </c>
      <c r="AL68" s="28" t="s">
        <v>22</v>
      </c>
      <c r="AM68" s="25">
        <f t="shared" si="125"/>
        <v>45.32</v>
      </c>
      <c r="AN68" s="56"/>
      <c r="AO68" s="251" t="s">
        <v>218</v>
      </c>
      <c r="AP68" s="194">
        <f t="shared" si="126"/>
        <v>0</v>
      </c>
      <c r="AQ68" s="208"/>
      <c r="AR68" s="203">
        <f t="shared" si="127"/>
        <v>0</v>
      </c>
      <c r="AS68" s="189"/>
      <c r="AT68" s="198">
        <f t="shared" si="178"/>
        <v>0</v>
      </c>
      <c r="AU68" s="199">
        <f t="shared" si="128"/>
        <v>10.44</v>
      </c>
      <c r="AV68" s="222">
        <f t="shared" si="129"/>
        <v>1.3049999999999999</v>
      </c>
      <c r="AW68" s="118"/>
      <c r="AX68" s="103">
        <f t="shared" si="179"/>
        <v>1.2</v>
      </c>
      <c r="AY68" s="192">
        <f t="shared" si="130"/>
        <v>8.6999999999999993</v>
      </c>
      <c r="AZ68" s="192">
        <v>0.75</v>
      </c>
      <c r="BA68" s="192">
        <f t="shared" si="131"/>
        <v>22.511249999999997</v>
      </c>
      <c r="BB68" s="113">
        <f t="shared" si="132"/>
        <v>0</v>
      </c>
      <c r="BC68" s="113">
        <f t="shared" si="133"/>
        <v>16.600000000000001</v>
      </c>
      <c r="BD68" s="270">
        <f>IF((BB68+BC68)&gt;0.01,0,IF(AA66="nástupiště",0.25*((N68+2*AX68)+(O68+2*AX68)),2*((N68+2*AX68)+(O68+2*AX68))))</f>
        <v>0</v>
      </c>
      <c r="BE68" s="228">
        <f t="shared" si="134"/>
        <v>14.486999999999997</v>
      </c>
      <c r="BF68" s="268">
        <v>1</v>
      </c>
      <c r="BG68" s="268">
        <f>BF68*IF(K68=0,0,N68-0.8)</f>
        <v>1</v>
      </c>
      <c r="BH68" s="118">
        <v>5</v>
      </c>
      <c r="BI68" s="72">
        <f t="shared" si="68"/>
        <v>75</v>
      </c>
      <c r="BJ68" s="256" t="str">
        <f t="shared" si="78"/>
        <v>Š42</v>
      </c>
      <c r="BK68" s="230">
        <f t="shared" si="83"/>
        <v>2.5</v>
      </c>
      <c r="BL68" s="3">
        <f t="shared" si="86"/>
        <v>1</v>
      </c>
      <c r="BM68" s="3">
        <f t="shared" si="87"/>
        <v>1</v>
      </c>
      <c r="BN68" s="10">
        <f t="shared" si="136"/>
        <v>1</v>
      </c>
      <c r="BO68" s="3">
        <f t="shared" si="137"/>
        <v>0</v>
      </c>
      <c r="BP68" s="3">
        <f t="shared" si="138"/>
        <v>1</v>
      </c>
      <c r="BQ68" s="3">
        <f t="shared" si="139"/>
        <v>0</v>
      </c>
      <c r="BR68" s="3">
        <f t="shared" si="140"/>
        <v>0</v>
      </c>
      <c r="BS68" s="3">
        <f t="shared" si="141"/>
        <v>0</v>
      </c>
      <c r="BT68" s="3"/>
      <c r="BU68" s="3">
        <f t="shared" si="142"/>
        <v>0</v>
      </c>
      <c r="BV68" s="3">
        <f t="shared" si="143"/>
        <v>0</v>
      </c>
      <c r="BW68" s="3">
        <f t="shared" si="144"/>
        <v>0</v>
      </c>
      <c r="BX68" s="3">
        <f t="shared" si="145"/>
        <v>0</v>
      </c>
      <c r="BY68" s="3">
        <f t="shared" si="146"/>
        <v>0</v>
      </c>
      <c r="BZ68" s="3">
        <f t="shared" si="147"/>
        <v>0</v>
      </c>
      <c r="CA68" s="3">
        <f t="shared" si="148"/>
        <v>0</v>
      </c>
      <c r="CB68" s="3">
        <f t="shared" si="149"/>
        <v>0</v>
      </c>
      <c r="CC68" s="3">
        <f t="shared" si="150"/>
        <v>0</v>
      </c>
      <c r="CD68" s="3">
        <f t="shared" si="151"/>
        <v>0</v>
      </c>
      <c r="CE68" s="3">
        <f t="shared" si="152"/>
        <v>0</v>
      </c>
      <c r="CF68" s="3">
        <f t="shared" si="153"/>
        <v>0</v>
      </c>
      <c r="CG68" s="3">
        <f t="shared" si="88"/>
        <v>1</v>
      </c>
      <c r="CH68" s="3">
        <f t="shared" si="89"/>
        <v>0</v>
      </c>
      <c r="CI68" s="3"/>
      <c r="CJ68" s="3">
        <f t="shared" si="154"/>
        <v>11.22</v>
      </c>
      <c r="CK68" s="3">
        <f t="shared" si="155"/>
        <v>28.62</v>
      </c>
      <c r="CL68" s="3">
        <f t="shared" si="90"/>
        <v>321.11640000000006</v>
      </c>
      <c r="CM68" s="3">
        <f t="shared" si="91"/>
        <v>17.919720979970645</v>
      </c>
      <c r="CN68" s="10">
        <f t="shared" si="156"/>
        <v>3.15</v>
      </c>
      <c r="CO68" s="3">
        <f t="shared" si="157"/>
        <v>60.647707028969187</v>
      </c>
      <c r="CP68" s="3">
        <f t="shared" si="92"/>
        <v>30.323853514484593</v>
      </c>
      <c r="CQ68" s="3">
        <f t="shared" si="93"/>
        <v>0.5</v>
      </c>
      <c r="CR68" s="3">
        <f t="shared" si="180"/>
        <v>0.5</v>
      </c>
      <c r="CS68" s="3"/>
      <c r="CT68" s="3">
        <f t="shared" si="158"/>
        <v>18.848853514484595</v>
      </c>
      <c r="CU68" s="3">
        <f t="shared" si="94"/>
        <v>18.848853514484595</v>
      </c>
      <c r="CV68" s="3"/>
      <c r="CW68" s="3"/>
      <c r="CX68" s="3"/>
    </row>
    <row r="69" spans="1:125" ht="17.25" x14ac:dyDescent="0.3">
      <c r="A69" s="72">
        <f t="shared" si="107"/>
        <v>3.06</v>
      </c>
      <c r="B69" s="113"/>
      <c r="C69" s="28"/>
      <c r="D69" s="408">
        <f>6+2+2</f>
        <v>10</v>
      </c>
      <c r="E69" s="72"/>
      <c r="F69" s="113"/>
      <c r="G69" s="113"/>
      <c r="H69" s="113"/>
      <c r="I69" s="314"/>
      <c r="J69" s="142" t="s">
        <v>156</v>
      </c>
      <c r="K69" s="213">
        <v>1</v>
      </c>
      <c r="L69" s="72"/>
      <c r="M69" s="27">
        <f t="shared" ref="M69:M70" si="273">IF(K69=0,1,0)</f>
        <v>0</v>
      </c>
      <c r="N69" s="118">
        <v>1.8</v>
      </c>
      <c r="O69" s="72">
        <v>1.7</v>
      </c>
      <c r="P69" s="72">
        <v>2.8</v>
      </c>
      <c r="Q69" s="72">
        <v>0.2</v>
      </c>
      <c r="R69" s="72">
        <v>0.35</v>
      </c>
      <c r="S69" s="222">
        <f t="shared" si="121"/>
        <v>8.5679999999999996</v>
      </c>
      <c r="T69" s="290">
        <f t="shared" si="79"/>
        <v>3.92</v>
      </c>
      <c r="U69" s="290">
        <f t="shared" si="80"/>
        <v>4.242</v>
      </c>
      <c r="V69" s="290">
        <f t="shared" si="81"/>
        <v>1081.71</v>
      </c>
      <c r="W69" s="48"/>
      <c r="X69" s="250" t="s">
        <v>158</v>
      </c>
      <c r="Y69" s="14" t="str">
        <f t="shared" si="197"/>
        <v>ŽB. šachta</v>
      </c>
      <c r="Z69" s="16">
        <v>1</v>
      </c>
      <c r="AA69" s="16" t="s">
        <v>75</v>
      </c>
      <c r="AB69" s="181" t="s">
        <v>247</v>
      </c>
      <c r="AC69" s="260" t="str">
        <f t="shared" si="177"/>
        <v>Š43</v>
      </c>
      <c r="AD69" s="263">
        <f t="shared" si="198"/>
        <v>1</v>
      </c>
      <c r="AE69" s="37" t="s">
        <v>184</v>
      </c>
      <c r="AF69" s="48" t="s">
        <v>184</v>
      </c>
      <c r="AG69" s="48">
        <f t="shared" si="122"/>
        <v>24.840000000000003</v>
      </c>
      <c r="AH69" s="48">
        <f t="shared" si="123"/>
        <v>24.840000000000003</v>
      </c>
      <c r="AI69" s="24" t="s">
        <v>184</v>
      </c>
      <c r="AJ69" s="307">
        <f t="shared" ref="AJ69:AJ82" si="274">IF(AI69="ano",(N69*O69+O69*P69+N69+P69)*4,0)</f>
        <v>49.680000000000007</v>
      </c>
      <c r="AK69" s="255" t="str">
        <f t="shared" si="74"/>
        <v>Š43</v>
      </c>
      <c r="AL69" s="28" t="s">
        <v>22</v>
      </c>
      <c r="AM69" s="25">
        <f t="shared" si="125"/>
        <v>45.32</v>
      </c>
      <c r="AN69" s="56">
        <f t="shared" si="110"/>
        <v>8.6999999999999993</v>
      </c>
      <c r="AO69" s="251" t="s">
        <v>218</v>
      </c>
      <c r="AP69" s="194">
        <f t="shared" si="126"/>
        <v>0</v>
      </c>
      <c r="AQ69" s="208"/>
      <c r="AR69" s="203">
        <f t="shared" si="127"/>
        <v>0</v>
      </c>
      <c r="AS69" s="189"/>
      <c r="AT69" s="198">
        <f t="shared" si="178"/>
        <v>0</v>
      </c>
      <c r="AU69" s="199">
        <f t="shared" si="128"/>
        <v>10.44</v>
      </c>
      <c r="AV69" s="222">
        <f t="shared" si="129"/>
        <v>1.3049999999999999</v>
      </c>
      <c r="AW69" s="118"/>
      <c r="AX69" s="103">
        <f t="shared" si="179"/>
        <v>1.2</v>
      </c>
      <c r="AY69" s="192">
        <f t="shared" si="130"/>
        <v>8.6999999999999993</v>
      </c>
      <c r="AZ69" s="192">
        <v>0.75</v>
      </c>
      <c r="BA69" s="192">
        <f t="shared" si="131"/>
        <v>22.511249999999997</v>
      </c>
      <c r="BB69" s="113">
        <f t="shared" si="132"/>
        <v>0</v>
      </c>
      <c r="BC69" s="113">
        <f t="shared" si="133"/>
        <v>16.600000000000001</v>
      </c>
      <c r="BD69" s="270">
        <f t="shared" si="173"/>
        <v>0</v>
      </c>
      <c r="BE69" s="228">
        <f t="shared" si="134"/>
        <v>14.486999999999997</v>
      </c>
      <c r="BF69" s="268">
        <v>1</v>
      </c>
      <c r="BG69" s="268">
        <f>BF69*IF(K69=0,0,N69-0.8)</f>
        <v>1</v>
      </c>
      <c r="BH69" s="118">
        <v>5</v>
      </c>
      <c r="BI69" s="72">
        <f t="shared" si="68"/>
        <v>75</v>
      </c>
      <c r="BJ69" s="256" t="str">
        <f t="shared" si="78"/>
        <v>Š43</v>
      </c>
      <c r="BK69" s="230">
        <f t="shared" si="83"/>
        <v>2.5</v>
      </c>
      <c r="BL69" s="3">
        <f t="shared" si="86"/>
        <v>1</v>
      </c>
      <c r="BM69" s="3">
        <f t="shared" si="87"/>
        <v>1</v>
      </c>
      <c r="BN69" s="10">
        <f t="shared" si="136"/>
        <v>0</v>
      </c>
      <c r="BO69" s="3">
        <f t="shared" si="137"/>
        <v>0</v>
      </c>
      <c r="BP69" s="3">
        <f t="shared" si="138"/>
        <v>1</v>
      </c>
      <c r="BQ69" s="3">
        <f t="shared" si="139"/>
        <v>0</v>
      </c>
      <c r="BR69" s="3">
        <f t="shared" si="140"/>
        <v>0</v>
      </c>
      <c r="BS69" s="3">
        <f t="shared" si="141"/>
        <v>0</v>
      </c>
      <c r="BT69" s="3"/>
      <c r="BU69" s="3">
        <f t="shared" si="142"/>
        <v>1</v>
      </c>
      <c r="BV69" s="3">
        <f t="shared" si="143"/>
        <v>0</v>
      </c>
      <c r="BW69" s="3">
        <f t="shared" si="144"/>
        <v>0</v>
      </c>
      <c r="BX69" s="3">
        <f t="shared" si="145"/>
        <v>0</v>
      </c>
      <c r="BY69" s="3">
        <f t="shared" si="146"/>
        <v>0</v>
      </c>
      <c r="BZ69" s="3">
        <f t="shared" si="147"/>
        <v>0</v>
      </c>
      <c r="CA69" s="3">
        <f t="shared" si="148"/>
        <v>0</v>
      </c>
      <c r="CB69" s="3">
        <f t="shared" si="149"/>
        <v>0</v>
      </c>
      <c r="CC69" s="3">
        <f t="shared" si="150"/>
        <v>0</v>
      </c>
      <c r="CD69" s="3">
        <f t="shared" si="151"/>
        <v>0</v>
      </c>
      <c r="CE69" s="3">
        <f t="shared" si="152"/>
        <v>0</v>
      </c>
      <c r="CF69" s="3">
        <f t="shared" si="153"/>
        <v>0</v>
      </c>
      <c r="CG69" s="3">
        <f t="shared" si="88"/>
        <v>1</v>
      </c>
      <c r="CH69" s="3">
        <f t="shared" si="89"/>
        <v>0</v>
      </c>
      <c r="CI69" s="3"/>
      <c r="CJ69" s="3">
        <f t="shared" si="154"/>
        <v>11.22</v>
      </c>
      <c r="CK69" s="3">
        <f t="shared" si="155"/>
        <v>28.62</v>
      </c>
      <c r="CL69" s="3">
        <f t="shared" si="90"/>
        <v>321.11640000000006</v>
      </c>
      <c r="CM69" s="3">
        <f t="shared" si="91"/>
        <v>17.919720979970645</v>
      </c>
      <c r="CN69" s="10">
        <f t="shared" si="156"/>
        <v>3.15</v>
      </c>
      <c r="CO69" s="3">
        <f t="shared" si="157"/>
        <v>60.647707028969187</v>
      </c>
      <c r="CP69" s="3">
        <f t="shared" si="92"/>
        <v>30.323853514484593</v>
      </c>
      <c r="CQ69" s="3">
        <f t="shared" si="93"/>
        <v>0.5</v>
      </c>
      <c r="CR69" s="3">
        <f t="shared" si="180"/>
        <v>0.5</v>
      </c>
      <c r="CS69" s="3"/>
      <c r="CT69" s="3">
        <f t="shared" si="158"/>
        <v>18.848853514484595</v>
      </c>
      <c r="CU69" s="3">
        <f t="shared" si="94"/>
        <v>18.848853514484595</v>
      </c>
      <c r="CV69" s="3"/>
      <c r="CW69" s="3"/>
      <c r="CX69" s="3"/>
      <c r="DD69" t="e">
        <f t="shared" ref="DD69:DD100" si="275">(N69+0.5+AE69/1.5)*(O69+0.9+AE69/1.5)*(P69+0.1-AE69)</f>
        <v>#VALUE!</v>
      </c>
      <c r="DE69" t="e">
        <f t="shared" ref="DE69:DE100" si="276">(N69+0.5+(0.35*AE69))*(O69+0.9+(0.35*AE69))*AE69</f>
        <v>#VALUE!</v>
      </c>
      <c r="DF69" t="e">
        <f t="shared" ref="DF69:DF100" si="277">K69*((2*N69*(P69-AC69))+(2*O69*(P69-AC69))+(N69+0.25)*(O69+0.25))</f>
        <v>#VALUE!</v>
      </c>
      <c r="DG69">
        <f t="shared" ref="DG69:DG100" si="278">((N69*O69*(P69-R69)-((N69-Q69*2)*(O69-Q69*2)*(P69-Q69*2))+((R69*1.1*1.4)-(R69*0.6*0.9)))*K69)</f>
        <v>3.4790000000000005</v>
      </c>
      <c r="DH69">
        <f t="shared" ref="DH69:DH100" si="279">(2*N69*O69+2*N69*P69+2*O69*P69)+(2*R69*1.1+2*R69*1.4)</f>
        <v>27.47</v>
      </c>
      <c r="DI69">
        <f t="shared" ref="DI69:DI100" si="280">2*(2*N69*O69+2*N69*P69+2*O69*P69)*7850*2*(0.003*0.003*3.14)*(1000/150)</f>
        <v>152.15334720000001</v>
      </c>
      <c r="DJ69">
        <f t="shared" ref="DJ69:DJ100" si="281">2*(2*N69*O69+2*N69*P69+2*O69*P69)*7850*2*(0.003*0.003*3.14)*(1000/100)</f>
        <v>228.23002080000003</v>
      </c>
      <c r="DK69">
        <f t="shared" ref="DK69:DK100" si="282">2*(2*N69*O69+2*N69*P69+2*O69*P69)*7850*2*(0.004*0.004*3.14)*(1000/100)</f>
        <v>405.74225920000003</v>
      </c>
      <c r="DL69">
        <f t="shared" ref="DL69:DL100" si="283">(N69+1.5)*(P69+R69)+(O69+1.8)*(P69+R69)</f>
        <v>21.42</v>
      </c>
      <c r="DN69">
        <f t="shared" ref="DN69:DN100" si="284">2*(2*N69*O69+2*N69*P69+2*O69*P69)*7850*2*(0.006*0.006*3.14)*(1000/150)</f>
        <v>608.61338880000005</v>
      </c>
      <c r="DP69">
        <f t="shared" ref="DP69:DP100" si="285">IF(K69=0,0,(N69+0.9)*(O69+1.1))*IF(AI69=1,7850*(0.003*0.003*3.14)*(1000/150),0)</f>
        <v>0</v>
      </c>
      <c r="DQ69">
        <f t="shared" ref="DQ69:DQ100" si="286">IF(K69=0,0,(N69+0.9)*(O69+1.1))*IF(AI69=2,7850*(0.003*0.003*3.14)*(1000/100),0)</f>
        <v>0</v>
      </c>
      <c r="DR69">
        <f t="shared" ref="DR69:DR100" si="287">IF(K69=0,0,(N69+0.9)*(O69+1.1))*IF(AI69=3,7850*(0.004*0.004*3.14)*(1000/100),0)</f>
        <v>0</v>
      </c>
      <c r="DU69" t="e">
        <f t="shared" ref="DU69:DU100" si="288">(N69+0.6+0.6+(0.25*AE69))*(O69+0.6+0.6+(0.25*AE69))*AE69</f>
        <v>#VALUE!</v>
      </c>
    </row>
    <row r="70" spans="1:125" ht="17.25" x14ac:dyDescent="0.3">
      <c r="A70" s="72">
        <f t="shared" si="107"/>
        <v>3.06</v>
      </c>
      <c r="B70" s="113"/>
      <c r="C70" s="28"/>
      <c r="D70" s="118">
        <f>6+2+2</f>
        <v>10</v>
      </c>
      <c r="E70" s="72"/>
      <c r="F70" s="113"/>
      <c r="G70" s="113"/>
      <c r="H70" s="113"/>
      <c r="I70" s="315"/>
      <c r="J70" s="142" t="s">
        <v>157</v>
      </c>
      <c r="K70" s="213">
        <v>1</v>
      </c>
      <c r="L70" s="72"/>
      <c r="M70" s="27">
        <f t="shared" si="273"/>
        <v>0</v>
      </c>
      <c r="N70" s="118">
        <v>1.8</v>
      </c>
      <c r="O70" s="72">
        <v>1.7</v>
      </c>
      <c r="P70" s="72">
        <v>2.8</v>
      </c>
      <c r="Q70" s="72">
        <v>0.2</v>
      </c>
      <c r="R70" s="72">
        <v>0.35</v>
      </c>
      <c r="S70" s="222">
        <f t="shared" si="121"/>
        <v>8.5679999999999996</v>
      </c>
      <c r="T70" s="290">
        <f t="shared" si="79"/>
        <v>3.92</v>
      </c>
      <c r="U70" s="290">
        <f t="shared" si="80"/>
        <v>4.242</v>
      </c>
      <c r="V70" s="290">
        <f t="shared" si="81"/>
        <v>1081.71</v>
      </c>
      <c r="W70" s="48"/>
      <c r="X70" s="250" t="s">
        <v>158</v>
      </c>
      <c r="Y70" s="14" t="str">
        <f t="shared" si="197"/>
        <v>ŽB. šachta</v>
      </c>
      <c r="Z70" s="16">
        <v>1</v>
      </c>
      <c r="AA70" s="16" t="s">
        <v>75</v>
      </c>
      <c r="AB70" s="181" t="s">
        <v>247</v>
      </c>
      <c r="AC70" s="260" t="str">
        <f t="shared" si="177"/>
        <v>Š44</v>
      </c>
      <c r="AD70" s="263">
        <f t="shared" si="198"/>
        <v>1</v>
      </c>
      <c r="AE70" s="37" t="s">
        <v>184</v>
      </c>
      <c r="AF70" s="48" t="s">
        <v>184</v>
      </c>
      <c r="AG70" s="48">
        <f t="shared" si="122"/>
        <v>24.840000000000003</v>
      </c>
      <c r="AH70" s="48">
        <f t="shared" si="123"/>
        <v>24.840000000000003</v>
      </c>
      <c r="AI70" s="24" t="s">
        <v>184</v>
      </c>
      <c r="AJ70" s="307">
        <f t="shared" si="274"/>
        <v>49.680000000000007</v>
      </c>
      <c r="AK70" s="255" t="str">
        <f t="shared" si="74"/>
        <v>Š44</v>
      </c>
      <c r="AL70" s="28" t="s">
        <v>22</v>
      </c>
      <c r="AM70" s="25">
        <f t="shared" si="125"/>
        <v>45.32</v>
      </c>
      <c r="AN70" s="56">
        <f t="shared" si="110"/>
        <v>8.6999999999999993</v>
      </c>
      <c r="AO70" s="251" t="s">
        <v>218</v>
      </c>
      <c r="AP70" s="194">
        <f t="shared" si="126"/>
        <v>0</v>
      </c>
      <c r="AQ70" s="208"/>
      <c r="AR70" s="203">
        <f t="shared" si="127"/>
        <v>0</v>
      </c>
      <c r="AS70" s="189"/>
      <c r="AT70" s="198">
        <f t="shared" si="178"/>
        <v>0</v>
      </c>
      <c r="AU70" s="199">
        <f t="shared" si="128"/>
        <v>10.44</v>
      </c>
      <c r="AV70" s="222">
        <f t="shared" si="129"/>
        <v>1.3049999999999999</v>
      </c>
      <c r="AW70" s="118"/>
      <c r="AX70" s="103">
        <f t="shared" si="179"/>
        <v>1.2</v>
      </c>
      <c r="AY70" s="192">
        <f t="shared" si="130"/>
        <v>8.6999999999999993</v>
      </c>
      <c r="AZ70" s="192">
        <v>0.75</v>
      </c>
      <c r="BA70" s="192">
        <f t="shared" si="131"/>
        <v>22.511249999999997</v>
      </c>
      <c r="BB70" s="113">
        <f t="shared" si="132"/>
        <v>0</v>
      </c>
      <c r="BC70" s="113">
        <f t="shared" si="133"/>
        <v>16.600000000000001</v>
      </c>
      <c r="BD70" s="270">
        <f t="shared" si="173"/>
        <v>0</v>
      </c>
      <c r="BE70" s="228">
        <f t="shared" si="134"/>
        <v>14.486999999999997</v>
      </c>
      <c r="BF70" s="268">
        <v>1</v>
      </c>
      <c r="BG70" s="268">
        <f>BF70*IF(K70=0,0,N70-0.8)</f>
        <v>1</v>
      </c>
      <c r="BH70" s="118">
        <v>5</v>
      </c>
      <c r="BI70" s="72">
        <f t="shared" si="68"/>
        <v>75</v>
      </c>
      <c r="BJ70" s="256" t="str">
        <f t="shared" si="78"/>
        <v>Š44</v>
      </c>
      <c r="BK70" s="230">
        <f t="shared" si="83"/>
        <v>2.5</v>
      </c>
      <c r="BL70" s="3">
        <f t="shared" si="86"/>
        <v>1</v>
      </c>
      <c r="BM70" s="3">
        <f t="shared" si="87"/>
        <v>1</v>
      </c>
      <c r="BN70" s="10">
        <f t="shared" si="136"/>
        <v>0</v>
      </c>
      <c r="BO70" s="3">
        <f t="shared" si="137"/>
        <v>0</v>
      </c>
      <c r="BP70" s="3">
        <f t="shared" si="138"/>
        <v>1</v>
      </c>
      <c r="BQ70" s="3">
        <f t="shared" si="139"/>
        <v>0</v>
      </c>
      <c r="BR70" s="3">
        <f t="shared" si="140"/>
        <v>0</v>
      </c>
      <c r="BS70" s="3">
        <f t="shared" si="141"/>
        <v>0</v>
      </c>
      <c r="BT70" s="3"/>
      <c r="BU70" s="3">
        <f t="shared" si="142"/>
        <v>1</v>
      </c>
      <c r="BV70" s="3">
        <f t="shared" si="143"/>
        <v>0</v>
      </c>
      <c r="BW70" s="3">
        <f t="shared" si="144"/>
        <v>0</v>
      </c>
      <c r="BX70" s="3">
        <f t="shared" si="145"/>
        <v>0</v>
      </c>
      <c r="BY70" s="3">
        <f t="shared" si="146"/>
        <v>0</v>
      </c>
      <c r="BZ70" s="3">
        <f t="shared" si="147"/>
        <v>0</v>
      </c>
      <c r="CA70" s="3">
        <f t="shared" si="148"/>
        <v>0</v>
      </c>
      <c r="CB70" s="3">
        <f t="shared" si="149"/>
        <v>0</v>
      </c>
      <c r="CC70" s="3">
        <f t="shared" si="150"/>
        <v>0</v>
      </c>
      <c r="CD70" s="3">
        <f t="shared" si="151"/>
        <v>0</v>
      </c>
      <c r="CE70" s="3">
        <f t="shared" si="152"/>
        <v>0</v>
      </c>
      <c r="CF70" s="3">
        <f t="shared" si="153"/>
        <v>0</v>
      </c>
      <c r="CG70" s="3">
        <f t="shared" si="88"/>
        <v>1</v>
      </c>
      <c r="CH70" s="3">
        <f t="shared" si="89"/>
        <v>0</v>
      </c>
      <c r="CI70" s="3"/>
      <c r="CJ70" s="3">
        <f t="shared" si="154"/>
        <v>11.22</v>
      </c>
      <c r="CK70" s="3">
        <f t="shared" si="155"/>
        <v>28.62</v>
      </c>
      <c r="CL70" s="3">
        <f t="shared" si="90"/>
        <v>321.11640000000006</v>
      </c>
      <c r="CM70" s="3">
        <f t="shared" si="91"/>
        <v>17.919720979970645</v>
      </c>
      <c r="CN70" s="10">
        <f t="shared" si="156"/>
        <v>3.15</v>
      </c>
      <c r="CO70" s="3">
        <f t="shared" si="157"/>
        <v>60.647707028969187</v>
      </c>
      <c r="CP70" s="3">
        <f t="shared" si="92"/>
        <v>30.323853514484593</v>
      </c>
      <c r="CQ70" s="3">
        <f t="shared" si="93"/>
        <v>0.5</v>
      </c>
      <c r="CR70" s="3">
        <f t="shared" si="180"/>
        <v>0.5</v>
      </c>
      <c r="CS70" s="3"/>
      <c r="CT70" s="3">
        <f t="shared" si="158"/>
        <v>18.848853514484595</v>
      </c>
      <c r="CU70" s="3">
        <f t="shared" si="94"/>
        <v>18.848853514484595</v>
      </c>
      <c r="CV70" s="3"/>
      <c r="CW70" s="3"/>
      <c r="CX70" s="3"/>
      <c r="DD70" t="e">
        <f t="shared" si="275"/>
        <v>#VALUE!</v>
      </c>
      <c r="DE70" t="e">
        <f t="shared" si="276"/>
        <v>#VALUE!</v>
      </c>
      <c r="DF70" t="e">
        <f t="shared" si="277"/>
        <v>#VALUE!</v>
      </c>
      <c r="DG70">
        <f t="shared" si="278"/>
        <v>3.4790000000000005</v>
      </c>
      <c r="DH70">
        <f t="shared" si="279"/>
        <v>27.47</v>
      </c>
      <c r="DI70">
        <f t="shared" si="280"/>
        <v>152.15334720000001</v>
      </c>
      <c r="DJ70">
        <f t="shared" si="281"/>
        <v>228.23002080000003</v>
      </c>
      <c r="DK70">
        <f t="shared" si="282"/>
        <v>405.74225920000003</v>
      </c>
      <c r="DL70">
        <f t="shared" si="283"/>
        <v>21.42</v>
      </c>
      <c r="DN70">
        <f t="shared" si="284"/>
        <v>608.61338880000005</v>
      </c>
      <c r="DP70">
        <f t="shared" si="285"/>
        <v>0</v>
      </c>
      <c r="DQ70">
        <f t="shared" si="286"/>
        <v>0</v>
      </c>
      <c r="DR70">
        <f t="shared" si="287"/>
        <v>0</v>
      </c>
      <c r="DU70" t="e">
        <f t="shared" si="288"/>
        <v>#VALUE!</v>
      </c>
    </row>
    <row r="71" spans="1:125" ht="17.25" x14ac:dyDescent="0.3">
      <c r="A71" s="72">
        <f t="shared" si="107"/>
        <v>2.5600000000000005</v>
      </c>
      <c r="B71" s="113"/>
      <c r="C71" s="28"/>
      <c r="D71" s="118">
        <f>6+2+2</f>
        <v>10</v>
      </c>
      <c r="E71" s="72"/>
      <c r="F71" s="113"/>
      <c r="G71" s="113"/>
      <c r="H71" s="113"/>
      <c r="I71" s="314"/>
      <c r="J71" s="142" t="s">
        <v>246</v>
      </c>
      <c r="K71" s="213">
        <v>1</v>
      </c>
      <c r="L71" s="72"/>
      <c r="M71" s="27">
        <f t="shared" ref="M71" si="289">IF(K71=0,1,0)</f>
        <v>0</v>
      </c>
      <c r="N71" s="118">
        <v>1.6</v>
      </c>
      <c r="O71" s="72">
        <v>1.6</v>
      </c>
      <c r="P71" s="72">
        <v>2.8</v>
      </c>
      <c r="Q71" s="72">
        <v>0.2</v>
      </c>
      <c r="R71" s="72">
        <v>0.35</v>
      </c>
      <c r="S71" s="222">
        <f t="shared" si="121"/>
        <v>7.168000000000001</v>
      </c>
      <c r="T71" s="290">
        <f t="shared" si="79"/>
        <v>3.5839999999999996</v>
      </c>
      <c r="U71" s="290">
        <f t="shared" si="80"/>
        <v>3.9059999999999997</v>
      </c>
      <c r="V71" s="290">
        <f t="shared" si="81"/>
        <v>996.03</v>
      </c>
      <c r="W71" s="48"/>
      <c r="X71" s="250" t="s">
        <v>158</v>
      </c>
      <c r="Y71" s="14" t="str">
        <f t="shared" si="197"/>
        <v>ŽB. šachta</v>
      </c>
      <c r="Z71" s="16">
        <v>1</v>
      </c>
      <c r="AA71" s="16" t="s">
        <v>75</v>
      </c>
      <c r="AB71" s="181" t="s">
        <v>247</v>
      </c>
      <c r="AC71" s="260" t="str">
        <f t="shared" si="177"/>
        <v>Š45</v>
      </c>
      <c r="AD71" s="263">
        <f t="shared" si="198"/>
        <v>1</v>
      </c>
      <c r="AE71" s="37" t="s">
        <v>184</v>
      </c>
      <c r="AF71" s="48" t="s">
        <v>184</v>
      </c>
      <c r="AG71" s="48">
        <f t="shared" si="122"/>
        <v>22.880000000000003</v>
      </c>
      <c r="AH71" s="48">
        <f t="shared" si="123"/>
        <v>22.880000000000003</v>
      </c>
      <c r="AI71" s="24" t="s">
        <v>184</v>
      </c>
      <c r="AJ71" s="307">
        <f t="shared" si="274"/>
        <v>45.760000000000005</v>
      </c>
      <c r="AK71" s="255" t="str">
        <f t="shared" si="74"/>
        <v>Š45</v>
      </c>
      <c r="AL71" s="28" t="s">
        <v>22</v>
      </c>
      <c r="AM71" s="25">
        <f t="shared" si="125"/>
        <v>40.959999999999994</v>
      </c>
      <c r="AN71" s="56">
        <f t="shared" si="110"/>
        <v>7.839999999999999</v>
      </c>
      <c r="AO71" s="251" t="s">
        <v>218</v>
      </c>
      <c r="AP71" s="194">
        <f t="shared" si="126"/>
        <v>0</v>
      </c>
      <c r="AQ71" s="208"/>
      <c r="AR71" s="203">
        <f t="shared" si="127"/>
        <v>0</v>
      </c>
      <c r="AS71" s="189"/>
      <c r="AT71" s="198">
        <f t="shared" si="178"/>
        <v>0</v>
      </c>
      <c r="AU71" s="199">
        <f t="shared" si="128"/>
        <v>9.4079999999999977</v>
      </c>
      <c r="AV71" s="222">
        <f t="shared" si="129"/>
        <v>1.1759999999999997</v>
      </c>
      <c r="AW71" s="118"/>
      <c r="AX71" s="103">
        <f t="shared" si="179"/>
        <v>1.2</v>
      </c>
      <c r="AY71" s="192">
        <f t="shared" si="130"/>
        <v>7.839999999999999</v>
      </c>
      <c r="AZ71" s="192">
        <v>0.75</v>
      </c>
      <c r="BA71" s="192">
        <f t="shared" si="131"/>
        <v>20.285999999999994</v>
      </c>
      <c r="BB71" s="113">
        <f t="shared" si="132"/>
        <v>0</v>
      </c>
      <c r="BC71" s="113">
        <f t="shared" si="133"/>
        <v>16</v>
      </c>
      <c r="BD71" s="270">
        <f t="shared" si="173"/>
        <v>0</v>
      </c>
      <c r="BE71" s="228">
        <f t="shared" si="134"/>
        <v>13.607999999999993</v>
      </c>
      <c r="BF71" s="268">
        <v>1</v>
      </c>
      <c r="BG71" s="268">
        <f>BF71*IF(K71=0,0,N71-0.8)</f>
        <v>0.8</v>
      </c>
      <c r="BH71" s="118">
        <v>5</v>
      </c>
      <c r="BI71" s="72">
        <f t="shared" si="68"/>
        <v>75</v>
      </c>
      <c r="BJ71" s="256" t="str">
        <f t="shared" si="78"/>
        <v>Š45</v>
      </c>
      <c r="BK71" s="230">
        <f t="shared" si="83"/>
        <v>2</v>
      </c>
      <c r="BL71" s="3">
        <f t="shared" si="86"/>
        <v>1</v>
      </c>
      <c r="BM71" s="3">
        <f t="shared" si="87"/>
        <v>1</v>
      </c>
      <c r="BN71" s="10">
        <f t="shared" si="136"/>
        <v>0</v>
      </c>
      <c r="BO71" s="3">
        <f t="shared" si="137"/>
        <v>0</v>
      </c>
      <c r="BP71" s="3">
        <f t="shared" si="138"/>
        <v>1</v>
      </c>
      <c r="BQ71" s="3">
        <f t="shared" si="139"/>
        <v>0</v>
      </c>
      <c r="BR71" s="3">
        <f t="shared" si="140"/>
        <v>0</v>
      </c>
      <c r="BS71" s="3">
        <f t="shared" si="141"/>
        <v>0</v>
      </c>
      <c r="BT71" s="3"/>
      <c r="BU71" s="3">
        <f t="shared" si="142"/>
        <v>1</v>
      </c>
      <c r="BV71" s="3">
        <f t="shared" si="143"/>
        <v>0</v>
      </c>
      <c r="BW71" s="3">
        <f t="shared" si="144"/>
        <v>0</v>
      </c>
      <c r="BX71" s="3">
        <f t="shared" si="145"/>
        <v>0</v>
      </c>
      <c r="BY71" s="3">
        <f t="shared" si="146"/>
        <v>0</v>
      </c>
      <c r="BZ71" s="3">
        <f t="shared" si="147"/>
        <v>0</v>
      </c>
      <c r="CA71" s="3">
        <f t="shared" si="148"/>
        <v>0</v>
      </c>
      <c r="CB71" s="3">
        <f t="shared" si="149"/>
        <v>0</v>
      </c>
      <c r="CC71" s="3">
        <f t="shared" si="150"/>
        <v>0</v>
      </c>
      <c r="CD71" s="3">
        <f t="shared" si="151"/>
        <v>0</v>
      </c>
      <c r="CE71" s="3">
        <f t="shared" si="152"/>
        <v>0</v>
      </c>
      <c r="CF71" s="3">
        <f t="shared" si="153"/>
        <v>0</v>
      </c>
      <c r="CG71" s="3">
        <f t="shared" si="88"/>
        <v>1</v>
      </c>
      <c r="CH71" s="3">
        <f t="shared" si="89"/>
        <v>0</v>
      </c>
      <c r="CI71" s="3"/>
      <c r="CJ71" s="3">
        <f t="shared" si="154"/>
        <v>10.240000000000002</v>
      </c>
      <c r="CK71" s="3">
        <f t="shared" si="155"/>
        <v>27.040000000000003</v>
      </c>
      <c r="CL71" s="3">
        <f t="shared" si="90"/>
        <v>276.88960000000009</v>
      </c>
      <c r="CM71" s="3">
        <f t="shared" si="91"/>
        <v>16.640000000000004</v>
      </c>
      <c r="CN71" s="10">
        <f t="shared" si="156"/>
        <v>3.15</v>
      </c>
      <c r="CO71" s="3">
        <f t="shared" si="157"/>
        <v>56.616000000000007</v>
      </c>
      <c r="CP71" s="3">
        <f t="shared" si="92"/>
        <v>28.308000000000003</v>
      </c>
      <c r="CQ71" s="3">
        <f t="shared" si="93"/>
        <v>0.5</v>
      </c>
      <c r="CR71" s="3">
        <f t="shared" si="180"/>
        <v>0.5</v>
      </c>
      <c r="CS71" s="3"/>
      <c r="CT71" s="3">
        <f t="shared" si="158"/>
        <v>18.457000000000001</v>
      </c>
      <c r="CU71" s="3">
        <f t="shared" si="94"/>
        <v>18.457000000000001</v>
      </c>
      <c r="CV71" s="3"/>
      <c r="CW71" s="3"/>
      <c r="CX71" s="3"/>
      <c r="DD71" t="e">
        <f t="shared" si="275"/>
        <v>#VALUE!</v>
      </c>
      <c r="DE71" t="e">
        <f t="shared" si="276"/>
        <v>#VALUE!</v>
      </c>
      <c r="DF71" t="e">
        <f t="shared" si="277"/>
        <v>#VALUE!</v>
      </c>
      <c r="DG71">
        <f t="shared" si="278"/>
        <v>3.1659999999999995</v>
      </c>
      <c r="DH71">
        <f t="shared" si="279"/>
        <v>24.79</v>
      </c>
      <c r="DI71">
        <f t="shared" si="280"/>
        <v>136.29911040000002</v>
      </c>
      <c r="DJ71">
        <f t="shared" si="281"/>
        <v>204.44866560000003</v>
      </c>
      <c r="DK71">
        <f t="shared" si="282"/>
        <v>363.46429440000003</v>
      </c>
      <c r="DL71">
        <f t="shared" si="283"/>
        <v>20.475000000000001</v>
      </c>
      <c r="DN71">
        <f t="shared" si="284"/>
        <v>545.19644160000007</v>
      </c>
      <c r="DP71">
        <f t="shared" si="285"/>
        <v>0</v>
      </c>
      <c r="DQ71">
        <f t="shared" si="286"/>
        <v>0</v>
      </c>
      <c r="DR71">
        <f t="shared" si="287"/>
        <v>0</v>
      </c>
      <c r="DU71" t="e">
        <f t="shared" si="288"/>
        <v>#VALUE!</v>
      </c>
    </row>
    <row r="72" spans="1:125" ht="17.25" x14ac:dyDescent="0.3">
      <c r="A72" s="72">
        <f t="shared" si="107"/>
        <v>0</v>
      </c>
      <c r="B72" s="113"/>
      <c r="C72" s="28"/>
      <c r="D72" s="118"/>
      <c r="E72" s="72"/>
      <c r="F72" s="113"/>
      <c r="G72" s="113"/>
      <c r="H72" s="113"/>
      <c r="I72" s="313"/>
      <c r="J72" s="142"/>
      <c r="K72" s="213"/>
      <c r="L72" s="72"/>
      <c r="M72" s="27"/>
      <c r="N72" s="118"/>
      <c r="O72" s="72"/>
      <c r="P72" s="72"/>
      <c r="Q72" s="72"/>
      <c r="R72" s="72"/>
      <c r="S72" s="222">
        <f t="shared" si="121"/>
        <v>0</v>
      </c>
      <c r="T72" s="290"/>
      <c r="U72" s="290"/>
      <c r="V72" s="290"/>
      <c r="W72" s="48"/>
      <c r="X72" s="16"/>
      <c r="Y72" s="14">
        <f t="shared" si="197"/>
        <v>0</v>
      </c>
      <c r="Z72" s="16"/>
      <c r="AA72" s="16"/>
      <c r="AB72" s="181"/>
      <c r="AC72" s="260">
        <f t="shared" si="177"/>
        <v>0</v>
      </c>
      <c r="AD72" s="263">
        <f t="shared" si="198"/>
        <v>0</v>
      </c>
      <c r="AE72" s="24"/>
      <c r="AF72" s="258"/>
      <c r="AG72" s="48">
        <f t="shared" si="122"/>
        <v>0</v>
      </c>
      <c r="AH72" s="48">
        <f t="shared" si="123"/>
        <v>0</v>
      </c>
      <c r="AI72" s="102">
        <f t="shared" si="56"/>
        <v>0</v>
      </c>
      <c r="AJ72" s="27">
        <f t="shared" si="274"/>
        <v>0</v>
      </c>
      <c r="AL72" s="28"/>
      <c r="AM72" s="25">
        <f t="shared" si="125"/>
        <v>0</v>
      </c>
      <c r="AN72" s="56">
        <f t="shared" si="110"/>
        <v>0</v>
      </c>
      <c r="AO72" s="251" t="s">
        <v>218</v>
      </c>
      <c r="AP72" s="194">
        <f t="shared" si="126"/>
        <v>0</v>
      </c>
      <c r="AQ72" s="208"/>
      <c r="AR72" s="203">
        <f t="shared" si="127"/>
        <v>0</v>
      </c>
      <c r="AS72" s="189"/>
      <c r="AT72" s="198">
        <f t="shared" si="178"/>
        <v>0</v>
      </c>
      <c r="AU72" s="199">
        <f t="shared" si="128"/>
        <v>0</v>
      </c>
      <c r="AV72" s="222">
        <f t="shared" si="129"/>
        <v>0</v>
      </c>
      <c r="AW72" s="118"/>
      <c r="AX72" s="103">
        <f t="shared" si="179"/>
        <v>0</v>
      </c>
      <c r="AY72" s="192">
        <f t="shared" si="130"/>
        <v>0</v>
      </c>
      <c r="AZ72" s="192"/>
      <c r="BA72" s="192">
        <f t="shared" si="131"/>
        <v>0</v>
      </c>
      <c r="BB72" s="113">
        <f t="shared" si="132"/>
        <v>0</v>
      </c>
      <c r="BC72" s="113">
        <f t="shared" si="133"/>
        <v>0</v>
      </c>
      <c r="BD72" s="270">
        <f t="shared" si="173"/>
        <v>0</v>
      </c>
      <c r="BE72" s="228">
        <f t="shared" si="134"/>
        <v>0</v>
      </c>
      <c r="BF72" s="268"/>
      <c r="BG72" s="268">
        <f t="shared" ref="BG72:BG81" si="290">CEILING(IF(L72=0,0,O72-0.8+P72-0.8),1)</f>
        <v>0</v>
      </c>
      <c r="BH72" s="118"/>
      <c r="BI72" s="72">
        <f t="shared" si="68"/>
        <v>0</v>
      </c>
      <c r="BJ72" s="256">
        <f t="shared" si="78"/>
        <v>0</v>
      </c>
      <c r="BK72" s="230">
        <f t="shared" si="83"/>
        <v>0</v>
      </c>
      <c r="BL72" s="3">
        <f t="shared" si="86"/>
        <v>0</v>
      </c>
      <c r="BM72" s="3">
        <f t="shared" si="87"/>
        <v>0</v>
      </c>
      <c r="BN72" s="10">
        <f t="shared" si="136"/>
        <v>0</v>
      </c>
      <c r="BO72" s="3">
        <f t="shared" si="137"/>
        <v>0</v>
      </c>
      <c r="BP72" s="3">
        <f t="shared" si="138"/>
        <v>0</v>
      </c>
      <c r="BQ72" s="3">
        <f t="shared" si="139"/>
        <v>0</v>
      </c>
      <c r="BR72" s="3">
        <f t="shared" si="140"/>
        <v>0</v>
      </c>
      <c r="BS72" s="3">
        <f t="shared" si="141"/>
        <v>0</v>
      </c>
      <c r="BT72" s="3"/>
      <c r="BU72" s="3">
        <f t="shared" si="142"/>
        <v>0</v>
      </c>
      <c r="BV72" s="3">
        <f t="shared" si="143"/>
        <v>0</v>
      </c>
      <c r="BW72" s="3">
        <f t="shared" si="144"/>
        <v>0</v>
      </c>
      <c r="BX72" s="3">
        <f t="shared" si="145"/>
        <v>0</v>
      </c>
      <c r="BY72" s="3">
        <f t="shared" si="146"/>
        <v>0</v>
      </c>
      <c r="BZ72" s="3">
        <f t="shared" si="147"/>
        <v>0</v>
      </c>
      <c r="CA72" s="3">
        <f t="shared" si="148"/>
        <v>0</v>
      </c>
      <c r="CB72" s="3">
        <f t="shared" si="149"/>
        <v>0</v>
      </c>
      <c r="CC72" s="3">
        <f t="shared" si="150"/>
        <v>0</v>
      </c>
      <c r="CD72" s="3">
        <f t="shared" si="151"/>
        <v>0</v>
      </c>
      <c r="CE72" s="3">
        <f t="shared" si="152"/>
        <v>0</v>
      </c>
      <c r="CF72" s="3">
        <f t="shared" si="153"/>
        <v>0</v>
      </c>
      <c r="CG72" s="3">
        <f t="shared" si="88"/>
        <v>0</v>
      </c>
      <c r="CH72" s="3">
        <f t="shared" si="89"/>
        <v>0</v>
      </c>
      <c r="CI72" s="3"/>
      <c r="CJ72" s="3">
        <f t="shared" si="154"/>
        <v>0</v>
      </c>
      <c r="CK72" s="3">
        <f t="shared" si="155"/>
        <v>12.96</v>
      </c>
      <c r="CL72" s="3">
        <f t="shared" si="90"/>
        <v>0</v>
      </c>
      <c r="CM72" s="3">
        <f t="shared" si="91"/>
        <v>0</v>
      </c>
      <c r="CN72" s="10">
        <f t="shared" si="156"/>
        <v>0</v>
      </c>
      <c r="CO72" s="3">
        <f t="shared" si="157"/>
        <v>0</v>
      </c>
      <c r="CP72" s="3">
        <f t="shared" si="92"/>
        <v>0</v>
      </c>
      <c r="CQ72" s="3">
        <f t="shared" si="93"/>
        <v>1</v>
      </c>
      <c r="CR72" s="3">
        <f t="shared" si="180"/>
        <v>0</v>
      </c>
      <c r="CS72" s="3"/>
      <c r="CT72" s="3">
        <f t="shared" si="158"/>
        <v>0</v>
      </c>
      <c r="CU72" s="3">
        <f t="shared" si="94"/>
        <v>0</v>
      </c>
      <c r="CV72" s="3"/>
      <c r="CW72" s="3"/>
      <c r="CX72" s="3"/>
      <c r="DD72">
        <f t="shared" si="275"/>
        <v>4.5000000000000005E-2</v>
      </c>
      <c r="DE72">
        <f t="shared" si="276"/>
        <v>0</v>
      </c>
      <c r="DF72">
        <f t="shared" si="277"/>
        <v>0</v>
      </c>
      <c r="DG72">
        <f t="shared" si="278"/>
        <v>0</v>
      </c>
      <c r="DH72">
        <f t="shared" si="279"/>
        <v>0</v>
      </c>
      <c r="DI72">
        <f t="shared" si="280"/>
        <v>0</v>
      </c>
      <c r="DJ72">
        <f t="shared" si="281"/>
        <v>0</v>
      </c>
      <c r="DK72">
        <f t="shared" si="282"/>
        <v>0</v>
      </c>
      <c r="DL72">
        <f t="shared" si="283"/>
        <v>0</v>
      </c>
      <c r="DN72">
        <f t="shared" si="284"/>
        <v>0</v>
      </c>
      <c r="DP72">
        <f t="shared" si="285"/>
        <v>0</v>
      </c>
      <c r="DQ72">
        <f t="shared" si="286"/>
        <v>0</v>
      </c>
      <c r="DR72">
        <f t="shared" si="287"/>
        <v>0</v>
      </c>
      <c r="DU72">
        <f t="shared" si="288"/>
        <v>0</v>
      </c>
    </row>
    <row r="73" spans="1:125" ht="17.25" x14ac:dyDescent="0.3">
      <c r="A73" s="72">
        <f t="shared" si="107"/>
        <v>0</v>
      </c>
      <c r="B73" s="113"/>
      <c r="C73" s="28"/>
      <c r="D73" s="118"/>
      <c r="E73" s="72"/>
      <c r="F73" s="113"/>
      <c r="G73" s="113"/>
      <c r="H73" s="113"/>
      <c r="I73" s="313"/>
      <c r="J73" s="142"/>
      <c r="K73" s="213"/>
      <c r="L73" s="72"/>
      <c r="M73" s="27"/>
      <c r="N73" s="118"/>
      <c r="O73" s="72"/>
      <c r="P73" s="72"/>
      <c r="Q73" s="72"/>
      <c r="R73" s="72"/>
      <c r="S73" s="222">
        <f t="shared" si="121"/>
        <v>0</v>
      </c>
      <c r="T73" s="290"/>
      <c r="U73" s="290"/>
      <c r="V73" s="290"/>
      <c r="W73" s="48"/>
      <c r="X73" s="16"/>
      <c r="Y73" s="14">
        <f t="shared" si="197"/>
        <v>0</v>
      </c>
      <c r="Z73" s="16"/>
      <c r="AA73" s="16"/>
      <c r="AB73" s="181"/>
      <c r="AC73" s="260">
        <f t="shared" si="177"/>
        <v>0</v>
      </c>
      <c r="AD73" s="263">
        <f t="shared" si="198"/>
        <v>0</v>
      </c>
      <c r="AE73" s="24"/>
      <c r="AF73" s="258"/>
      <c r="AG73" s="48">
        <f t="shared" si="122"/>
        <v>0</v>
      </c>
      <c r="AH73" s="48">
        <f t="shared" si="123"/>
        <v>0</v>
      </c>
      <c r="AI73" s="102">
        <f t="shared" si="56"/>
        <v>0</v>
      </c>
      <c r="AJ73" s="27">
        <f t="shared" si="274"/>
        <v>0</v>
      </c>
      <c r="AL73" s="28"/>
      <c r="AM73" s="25">
        <f t="shared" si="125"/>
        <v>0</v>
      </c>
      <c r="AN73" s="56">
        <f t="shared" si="110"/>
        <v>0</v>
      </c>
      <c r="AO73" s="251" t="s">
        <v>218</v>
      </c>
      <c r="AP73" s="194">
        <f t="shared" si="126"/>
        <v>0</v>
      </c>
      <c r="AQ73" s="208"/>
      <c r="AR73" s="203">
        <f t="shared" si="127"/>
        <v>0</v>
      </c>
      <c r="AS73" s="189"/>
      <c r="AT73" s="198">
        <f t="shared" si="178"/>
        <v>0</v>
      </c>
      <c r="AU73" s="199">
        <f t="shared" si="128"/>
        <v>0</v>
      </c>
      <c r="AV73" s="222">
        <f t="shared" si="129"/>
        <v>0</v>
      </c>
      <c r="AW73" s="118"/>
      <c r="AX73" s="103">
        <f t="shared" si="179"/>
        <v>0</v>
      </c>
      <c r="AY73" s="192">
        <f t="shared" si="130"/>
        <v>0</v>
      </c>
      <c r="AZ73" s="192"/>
      <c r="BA73" s="192">
        <f t="shared" si="131"/>
        <v>0</v>
      </c>
      <c r="BB73" s="113">
        <f t="shared" si="132"/>
        <v>0</v>
      </c>
      <c r="BC73" s="113">
        <f t="shared" si="133"/>
        <v>0</v>
      </c>
      <c r="BD73" s="270">
        <f t="shared" si="173"/>
        <v>0</v>
      </c>
      <c r="BE73" s="228">
        <f t="shared" si="134"/>
        <v>0</v>
      </c>
      <c r="BF73" s="268">
        <f t="shared" ref="BF73:BF81" si="291">CEILING(IF(K73=0,0,N73-0.8+O73-0.8),1)</f>
        <v>0</v>
      </c>
      <c r="BG73" s="268">
        <f t="shared" si="290"/>
        <v>0</v>
      </c>
      <c r="BH73" s="118"/>
      <c r="BI73" s="72">
        <f t="shared" si="68"/>
        <v>0</v>
      </c>
      <c r="BJ73" s="256">
        <f t="shared" si="78"/>
        <v>0</v>
      </c>
      <c r="BK73" s="230">
        <f t="shared" si="83"/>
        <v>0</v>
      </c>
      <c r="BL73" s="3">
        <f t="shared" si="86"/>
        <v>0</v>
      </c>
      <c r="BM73" s="3">
        <f t="shared" si="87"/>
        <v>0</v>
      </c>
      <c r="BN73" s="10">
        <f t="shared" si="136"/>
        <v>0</v>
      </c>
      <c r="BO73" s="3">
        <f t="shared" si="137"/>
        <v>0</v>
      </c>
      <c r="BP73" s="3">
        <f t="shared" si="138"/>
        <v>0</v>
      </c>
      <c r="BQ73" s="3">
        <f t="shared" si="139"/>
        <v>0</v>
      </c>
      <c r="BR73" s="3">
        <f t="shared" si="140"/>
        <v>0</v>
      </c>
      <c r="BS73" s="3">
        <f t="shared" si="141"/>
        <v>0</v>
      </c>
      <c r="BT73" s="3"/>
      <c r="BU73" s="3">
        <f t="shared" si="142"/>
        <v>0</v>
      </c>
      <c r="BV73" s="3">
        <f t="shared" si="143"/>
        <v>0</v>
      </c>
      <c r="BW73" s="3">
        <f t="shared" si="144"/>
        <v>0</v>
      </c>
      <c r="BX73" s="3">
        <f t="shared" si="145"/>
        <v>0</v>
      </c>
      <c r="BY73" s="3">
        <f t="shared" si="146"/>
        <v>0</v>
      </c>
      <c r="BZ73" s="3">
        <f t="shared" si="147"/>
        <v>0</v>
      </c>
      <c r="CA73" s="3">
        <f t="shared" si="148"/>
        <v>0</v>
      </c>
      <c r="CB73" s="3">
        <f t="shared" si="149"/>
        <v>0</v>
      </c>
      <c r="CC73" s="3">
        <f t="shared" si="150"/>
        <v>0</v>
      </c>
      <c r="CD73" s="3">
        <f t="shared" si="151"/>
        <v>0</v>
      </c>
      <c r="CE73" s="3">
        <f t="shared" si="152"/>
        <v>0</v>
      </c>
      <c r="CF73" s="3">
        <f t="shared" si="153"/>
        <v>0</v>
      </c>
      <c r="CG73" s="3">
        <f t="shared" si="88"/>
        <v>0</v>
      </c>
      <c r="CH73" s="3">
        <f t="shared" si="89"/>
        <v>0</v>
      </c>
      <c r="CI73" s="3"/>
      <c r="CJ73" s="3">
        <f t="shared" si="154"/>
        <v>0</v>
      </c>
      <c r="CK73" s="3">
        <f t="shared" si="155"/>
        <v>12.96</v>
      </c>
      <c r="CL73" s="3">
        <f t="shared" si="90"/>
        <v>0</v>
      </c>
      <c r="CM73" s="3">
        <f t="shared" si="91"/>
        <v>0</v>
      </c>
      <c r="CN73" s="10">
        <f t="shared" si="156"/>
        <v>0</v>
      </c>
      <c r="CO73" s="3">
        <f t="shared" si="157"/>
        <v>0</v>
      </c>
      <c r="CP73" s="3">
        <f t="shared" si="92"/>
        <v>0</v>
      </c>
      <c r="CQ73" s="3">
        <f t="shared" si="93"/>
        <v>1</v>
      </c>
      <c r="CR73" s="3">
        <f t="shared" si="180"/>
        <v>0</v>
      </c>
      <c r="CS73" s="3"/>
      <c r="CT73" s="3">
        <f t="shared" si="158"/>
        <v>0</v>
      </c>
      <c r="CU73" s="3">
        <f t="shared" si="94"/>
        <v>0</v>
      </c>
      <c r="CV73" s="3"/>
      <c r="CW73" s="3"/>
      <c r="CX73" s="3"/>
      <c r="DD73">
        <f t="shared" si="275"/>
        <v>4.5000000000000005E-2</v>
      </c>
      <c r="DE73">
        <f t="shared" si="276"/>
        <v>0</v>
      </c>
      <c r="DF73">
        <f t="shared" si="277"/>
        <v>0</v>
      </c>
      <c r="DG73">
        <f t="shared" si="278"/>
        <v>0</v>
      </c>
      <c r="DH73">
        <f t="shared" si="279"/>
        <v>0</v>
      </c>
      <c r="DI73">
        <f t="shared" si="280"/>
        <v>0</v>
      </c>
      <c r="DJ73">
        <f t="shared" si="281"/>
        <v>0</v>
      </c>
      <c r="DK73">
        <f t="shared" si="282"/>
        <v>0</v>
      </c>
      <c r="DL73">
        <f t="shared" si="283"/>
        <v>0</v>
      </c>
      <c r="DN73">
        <f t="shared" si="284"/>
        <v>0</v>
      </c>
      <c r="DP73">
        <f t="shared" si="285"/>
        <v>0</v>
      </c>
      <c r="DQ73">
        <f t="shared" si="286"/>
        <v>0</v>
      </c>
      <c r="DR73">
        <f t="shared" si="287"/>
        <v>0</v>
      </c>
      <c r="DU73">
        <f t="shared" si="288"/>
        <v>0</v>
      </c>
    </row>
    <row r="74" spans="1:125" ht="17.25" x14ac:dyDescent="0.3">
      <c r="A74" s="72">
        <f t="shared" si="107"/>
        <v>0</v>
      </c>
      <c r="B74" s="113"/>
      <c r="C74" s="28"/>
      <c r="D74" s="118"/>
      <c r="E74" s="72"/>
      <c r="F74" s="113"/>
      <c r="G74" s="113"/>
      <c r="H74" s="113"/>
      <c r="I74" s="313"/>
      <c r="J74" s="142"/>
      <c r="K74" s="213"/>
      <c r="L74" s="72"/>
      <c r="M74" s="27"/>
      <c r="N74" s="118"/>
      <c r="O74" s="72"/>
      <c r="P74" s="72"/>
      <c r="Q74" s="72"/>
      <c r="R74" s="72"/>
      <c r="S74" s="222">
        <f t="shared" si="121"/>
        <v>0</v>
      </c>
      <c r="T74" s="290"/>
      <c r="U74" s="290"/>
      <c r="V74" s="290"/>
      <c r="W74" s="48"/>
      <c r="X74" s="16"/>
      <c r="Y74" s="14">
        <f t="shared" si="197"/>
        <v>0</v>
      </c>
      <c r="Z74" s="16"/>
      <c r="AA74" s="16"/>
      <c r="AB74" s="181"/>
      <c r="AC74" s="260">
        <f t="shared" si="177"/>
        <v>0</v>
      </c>
      <c r="AD74" s="264"/>
      <c r="AE74" s="24"/>
      <c r="AF74" s="258"/>
      <c r="AG74" s="48">
        <f t="shared" si="122"/>
        <v>0</v>
      </c>
      <c r="AH74" s="48">
        <f t="shared" si="123"/>
        <v>0</v>
      </c>
      <c r="AI74" s="102">
        <f t="shared" si="56"/>
        <v>0</v>
      </c>
      <c r="AJ74" s="27">
        <f t="shared" si="274"/>
        <v>0</v>
      </c>
      <c r="AL74" s="28"/>
      <c r="AM74" s="25">
        <f t="shared" si="125"/>
        <v>0</v>
      </c>
      <c r="AN74" s="56">
        <f t="shared" si="110"/>
        <v>0</v>
      </c>
      <c r="AO74" s="251" t="s">
        <v>218</v>
      </c>
      <c r="AP74" s="194">
        <f t="shared" si="126"/>
        <v>0</v>
      </c>
      <c r="AQ74" s="208"/>
      <c r="AR74" s="203">
        <f t="shared" si="127"/>
        <v>0</v>
      </c>
      <c r="AS74" s="189"/>
      <c r="AT74" s="198">
        <f t="shared" si="178"/>
        <v>0</v>
      </c>
      <c r="AU74" s="199">
        <f t="shared" si="128"/>
        <v>0</v>
      </c>
      <c r="AV74" s="222">
        <f t="shared" si="129"/>
        <v>0</v>
      </c>
      <c r="AW74" s="118"/>
      <c r="AX74" s="103">
        <f t="shared" si="179"/>
        <v>0</v>
      </c>
      <c r="AY74" s="192">
        <f t="shared" si="130"/>
        <v>0</v>
      </c>
      <c r="AZ74" s="192"/>
      <c r="BA74" s="192">
        <f t="shared" si="131"/>
        <v>0</v>
      </c>
      <c r="BB74" s="113">
        <f t="shared" si="132"/>
        <v>0</v>
      </c>
      <c r="BC74" s="113">
        <f t="shared" si="133"/>
        <v>0</v>
      </c>
      <c r="BD74" s="270">
        <f t="shared" si="173"/>
        <v>0</v>
      </c>
      <c r="BE74" s="228">
        <f t="shared" si="134"/>
        <v>0</v>
      </c>
      <c r="BF74" s="268">
        <f t="shared" si="291"/>
        <v>0</v>
      </c>
      <c r="BG74" s="268">
        <f t="shared" si="290"/>
        <v>0</v>
      </c>
      <c r="BH74" s="118"/>
      <c r="BI74" s="72">
        <f t="shared" si="68"/>
        <v>0</v>
      </c>
      <c r="BJ74" s="256">
        <f t="shared" si="78"/>
        <v>0</v>
      </c>
      <c r="BK74" s="230">
        <f t="shared" si="83"/>
        <v>0</v>
      </c>
      <c r="BL74" s="3">
        <f t="shared" si="86"/>
        <v>0</v>
      </c>
      <c r="BM74" s="3">
        <f t="shared" si="87"/>
        <v>0</v>
      </c>
      <c r="BN74" s="10">
        <f t="shared" si="136"/>
        <v>0</v>
      </c>
      <c r="BO74" s="3">
        <f t="shared" si="137"/>
        <v>0</v>
      </c>
      <c r="BP74" s="3">
        <f t="shared" si="138"/>
        <v>0</v>
      </c>
      <c r="BQ74" s="3">
        <f t="shared" si="139"/>
        <v>0</v>
      </c>
      <c r="BR74" s="3">
        <f t="shared" si="140"/>
        <v>0</v>
      </c>
      <c r="BS74" s="3">
        <f t="shared" si="141"/>
        <v>0</v>
      </c>
      <c r="BT74" s="3"/>
      <c r="BU74" s="3">
        <f t="shared" si="142"/>
        <v>0</v>
      </c>
      <c r="BV74" s="3">
        <f t="shared" si="143"/>
        <v>0</v>
      </c>
      <c r="BW74" s="3">
        <f t="shared" si="144"/>
        <v>0</v>
      </c>
      <c r="BX74" s="3">
        <f t="shared" si="145"/>
        <v>0</v>
      </c>
      <c r="BY74" s="3">
        <f t="shared" si="146"/>
        <v>0</v>
      </c>
      <c r="BZ74" s="3">
        <f t="shared" si="147"/>
        <v>0</v>
      </c>
      <c r="CA74" s="3">
        <f t="shared" si="148"/>
        <v>0</v>
      </c>
      <c r="CB74" s="3">
        <f t="shared" si="149"/>
        <v>0</v>
      </c>
      <c r="CC74" s="3">
        <f t="shared" si="150"/>
        <v>0</v>
      </c>
      <c r="CD74" s="3">
        <f t="shared" si="151"/>
        <v>0</v>
      </c>
      <c r="CE74" s="3">
        <f t="shared" si="152"/>
        <v>0</v>
      </c>
      <c r="CF74" s="3">
        <f t="shared" si="153"/>
        <v>0</v>
      </c>
      <c r="CG74" s="3">
        <f t="shared" si="88"/>
        <v>0</v>
      </c>
      <c r="CH74" s="3">
        <f t="shared" si="89"/>
        <v>0</v>
      </c>
      <c r="CI74" s="3"/>
      <c r="CJ74" s="3">
        <f t="shared" si="154"/>
        <v>0</v>
      </c>
      <c r="CK74" s="3">
        <f t="shared" si="155"/>
        <v>12.96</v>
      </c>
      <c r="CL74" s="3">
        <f t="shared" si="90"/>
        <v>0</v>
      </c>
      <c r="CM74" s="3">
        <f t="shared" si="91"/>
        <v>0</v>
      </c>
      <c r="CN74" s="10">
        <f t="shared" si="156"/>
        <v>0</v>
      </c>
      <c r="CO74" s="3">
        <f t="shared" si="157"/>
        <v>0</v>
      </c>
      <c r="CP74" s="3">
        <f t="shared" si="92"/>
        <v>0</v>
      </c>
      <c r="CQ74" s="3">
        <f t="shared" si="93"/>
        <v>1</v>
      </c>
      <c r="CR74" s="3">
        <f t="shared" si="180"/>
        <v>0</v>
      </c>
      <c r="CS74" s="3"/>
      <c r="CT74" s="3">
        <f t="shared" si="158"/>
        <v>0</v>
      </c>
      <c r="CU74" s="3">
        <f t="shared" si="94"/>
        <v>0</v>
      </c>
      <c r="CV74" s="3"/>
      <c r="CW74" s="3"/>
      <c r="CX74" s="3"/>
      <c r="DD74">
        <f t="shared" si="275"/>
        <v>4.5000000000000005E-2</v>
      </c>
      <c r="DE74">
        <f t="shared" si="276"/>
        <v>0</v>
      </c>
      <c r="DF74">
        <f t="shared" si="277"/>
        <v>0</v>
      </c>
      <c r="DG74">
        <f t="shared" si="278"/>
        <v>0</v>
      </c>
      <c r="DH74">
        <f t="shared" si="279"/>
        <v>0</v>
      </c>
      <c r="DI74">
        <f t="shared" si="280"/>
        <v>0</v>
      </c>
      <c r="DJ74">
        <f t="shared" si="281"/>
        <v>0</v>
      </c>
      <c r="DK74">
        <f t="shared" si="282"/>
        <v>0</v>
      </c>
      <c r="DL74">
        <f t="shared" si="283"/>
        <v>0</v>
      </c>
      <c r="DN74">
        <f t="shared" si="284"/>
        <v>0</v>
      </c>
      <c r="DP74">
        <f t="shared" si="285"/>
        <v>0</v>
      </c>
      <c r="DQ74">
        <f t="shared" si="286"/>
        <v>0</v>
      </c>
      <c r="DR74">
        <f t="shared" si="287"/>
        <v>0</v>
      </c>
      <c r="DU74">
        <f t="shared" si="288"/>
        <v>0</v>
      </c>
    </row>
    <row r="75" spans="1:125" ht="17.25" x14ac:dyDescent="0.3">
      <c r="A75" s="72">
        <f t="shared" si="107"/>
        <v>0</v>
      </c>
      <c r="B75" s="113"/>
      <c r="C75" s="28"/>
      <c r="D75" s="118"/>
      <c r="E75" s="72"/>
      <c r="F75" s="113"/>
      <c r="G75" s="113"/>
      <c r="H75" s="113"/>
      <c r="I75" s="313"/>
      <c r="J75" s="142"/>
      <c r="K75" s="213"/>
      <c r="L75" s="72"/>
      <c r="M75" s="27"/>
      <c r="N75" s="118"/>
      <c r="O75" s="72"/>
      <c r="P75" s="72"/>
      <c r="Q75" s="72"/>
      <c r="R75" s="72"/>
      <c r="S75" s="222">
        <f t="shared" si="121"/>
        <v>0</v>
      </c>
      <c r="T75" s="290"/>
      <c r="U75" s="290"/>
      <c r="V75" s="290"/>
      <c r="W75" s="48"/>
      <c r="X75" s="16"/>
      <c r="Y75" s="14">
        <f t="shared" si="197"/>
        <v>0</v>
      </c>
      <c r="Z75" s="16"/>
      <c r="AA75" s="16"/>
      <c r="AB75" s="181"/>
      <c r="AC75" s="260">
        <f t="shared" si="177"/>
        <v>0</v>
      </c>
      <c r="AD75" s="264"/>
      <c r="AE75" s="24"/>
      <c r="AF75" s="258"/>
      <c r="AG75" s="48">
        <f t="shared" si="122"/>
        <v>0</v>
      </c>
      <c r="AH75" s="48">
        <f t="shared" si="123"/>
        <v>0</v>
      </c>
      <c r="AI75" s="102">
        <f t="shared" si="56"/>
        <v>0</v>
      </c>
      <c r="AJ75" s="27">
        <f t="shared" si="274"/>
        <v>0</v>
      </c>
      <c r="AL75" s="28"/>
      <c r="AM75" s="25">
        <f t="shared" si="125"/>
        <v>0</v>
      </c>
      <c r="AN75" s="56">
        <f t="shared" si="110"/>
        <v>0</v>
      </c>
      <c r="AO75" s="251" t="s">
        <v>218</v>
      </c>
      <c r="AP75" s="194">
        <f t="shared" si="126"/>
        <v>0</v>
      </c>
      <c r="AQ75" s="208"/>
      <c r="AR75" s="203">
        <f t="shared" si="127"/>
        <v>0</v>
      </c>
      <c r="AS75" s="189"/>
      <c r="AT75" s="198">
        <f t="shared" si="178"/>
        <v>0</v>
      </c>
      <c r="AU75" s="199">
        <f t="shared" si="128"/>
        <v>0</v>
      </c>
      <c r="AV75" s="222">
        <f t="shared" si="129"/>
        <v>0</v>
      </c>
      <c r="AW75" s="118"/>
      <c r="AX75" s="103">
        <f t="shared" si="179"/>
        <v>0</v>
      </c>
      <c r="AY75" s="192">
        <f t="shared" si="130"/>
        <v>0</v>
      </c>
      <c r="AZ75" s="192"/>
      <c r="BA75" s="192">
        <f t="shared" si="131"/>
        <v>0</v>
      </c>
      <c r="BB75" s="113">
        <f t="shared" si="132"/>
        <v>0</v>
      </c>
      <c r="BC75" s="113">
        <f t="shared" si="133"/>
        <v>0</v>
      </c>
      <c r="BD75" s="270">
        <f t="shared" si="173"/>
        <v>0</v>
      </c>
      <c r="BE75" s="228">
        <f t="shared" si="134"/>
        <v>0</v>
      </c>
      <c r="BF75" s="268">
        <f t="shared" si="291"/>
        <v>0</v>
      </c>
      <c r="BG75" s="268">
        <f t="shared" si="290"/>
        <v>0</v>
      </c>
      <c r="BH75" s="118"/>
      <c r="BI75" s="72">
        <f t="shared" si="68"/>
        <v>0</v>
      </c>
      <c r="BJ75" s="73"/>
      <c r="BK75" s="230">
        <f t="shared" si="83"/>
        <v>0</v>
      </c>
      <c r="BL75" s="3">
        <f t="shared" si="86"/>
        <v>0</v>
      </c>
      <c r="BM75" s="3">
        <f t="shared" si="87"/>
        <v>0</v>
      </c>
      <c r="BN75" s="10">
        <f t="shared" si="136"/>
        <v>0</v>
      </c>
      <c r="BO75" s="3">
        <f t="shared" si="137"/>
        <v>0</v>
      </c>
      <c r="BP75" s="3">
        <f t="shared" si="138"/>
        <v>0</v>
      </c>
      <c r="BQ75" s="3">
        <f t="shared" si="139"/>
        <v>0</v>
      </c>
      <c r="BR75" s="3">
        <f t="shared" si="140"/>
        <v>0</v>
      </c>
      <c r="BS75" s="3">
        <f t="shared" si="141"/>
        <v>0</v>
      </c>
      <c r="BT75" s="3"/>
      <c r="BU75" s="3">
        <f t="shared" si="142"/>
        <v>0</v>
      </c>
      <c r="BV75" s="3">
        <f t="shared" si="143"/>
        <v>0</v>
      </c>
      <c r="BW75" s="3">
        <f t="shared" si="144"/>
        <v>0</v>
      </c>
      <c r="BX75" s="3">
        <f t="shared" si="145"/>
        <v>0</v>
      </c>
      <c r="BY75" s="3">
        <f t="shared" si="146"/>
        <v>0</v>
      </c>
      <c r="BZ75" s="3">
        <f t="shared" si="147"/>
        <v>0</v>
      </c>
      <c r="CA75" s="3">
        <f t="shared" si="148"/>
        <v>0</v>
      </c>
      <c r="CB75" s="3">
        <f t="shared" si="149"/>
        <v>0</v>
      </c>
      <c r="CC75" s="3">
        <f t="shared" si="150"/>
        <v>0</v>
      </c>
      <c r="CD75" s="3">
        <f t="shared" si="151"/>
        <v>0</v>
      </c>
      <c r="CE75" s="3">
        <f t="shared" si="152"/>
        <v>0</v>
      </c>
      <c r="CF75" s="3">
        <f t="shared" si="153"/>
        <v>0</v>
      </c>
      <c r="CG75" s="3">
        <f t="shared" si="88"/>
        <v>0</v>
      </c>
      <c r="CH75" s="3">
        <f t="shared" si="89"/>
        <v>0</v>
      </c>
      <c r="CI75" s="3"/>
      <c r="CJ75" s="3">
        <f t="shared" si="154"/>
        <v>0</v>
      </c>
      <c r="CK75" s="3">
        <f t="shared" si="155"/>
        <v>12.96</v>
      </c>
      <c r="CL75" s="3">
        <f t="shared" si="90"/>
        <v>0</v>
      </c>
      <c r="CM75" s="3">
        <f t="shared" si="91"/>
        <v>0</v>
      </c>
      <c r="CN75" s="10">
        <f t="shared" si="156"/>
        <v>0</v>
      </c>
      <c r="CO75" s="3">
        <f t="shared" si="157"/>
        <v>0</v>
      </c>
      <c r="CP75" s="3">
        <f t="shared" si="92"/>
        <v>0</v>
      </c>
      <c r="CQ75" s="3">
        <f t="shared" si="93"/>
        <v>1</v>
      </c>
      <c r="CR75" s="3">
        <f t="shared" si="180"/>
        <v>0</v>
      </c>
      <c r="CS75" s="3"/>
      <c r="CT75" s="3">
        <f t="shared" si="158"/>
        <v>0</v>
      </c>
      <c r="CU75" s="3">
        <f t="shared" si="94"/>
        <v>0</v>
      </c>
      <c r="CV75" s="3"/>
      <c r="CW75" s="3"/>
      <c r="CX75" s="3"/>
      <c r="DD75">
        <f t="shared" si="275"/>
        <v>4.5000000000000005E-2</v>
      </c>
      <c r="DE75">
        <f t="shared" si="276"/>
        <v>0</v>
      </c>
      <c r="DF75">
        <f t="shared" si="277"/>
        <v>0</v>
      </c>
      <c r="DG75">
        <f t="shared" si="278"/>
        <v>0</v>
      </c>
      <c r="DH75">
        <f t="shared" si="279"/>
        <v>0</v>
      </c>
      <c r="DI75">
        <f t="shared" si="280"/>
        <v>0</v>
      </c>
      <c r="DJ75">
        <f t="shared" si="281"/>
        <v>0</v>
      </c>
      <c r="DK75">
        <f t="shared" si="282"/>
        <v>0</v>
      </c>
      <c r="DL75">
        <f t="shared" si="283"/>
        <v>0</v>
      </c>
      <c r="DN75">
        <f t="shared" si="284"/>
        <v>0</v>
      </c>
      <c r="DP75">
        <f t="shared" si="285"/>
        <v>0</v>
      </c>
      <c r="DQ75">
        <f t="shared" si="286"/>
        <v>0</v>
      </c>
      <c r="DR75">
        <f t="shared" si="287"/>
        <v>0</v>
      </c>
      <c r="DU75">
        <f t="shared" si="288"/>
        <v>0</v>
      </c>
    </row>
    <row r="76" spans="1:125" ht="17.25" x14ac:dyDescent="0.3">
      <c r="A76" s="72">
        <f t="shared" si="107"/>
        <v>0</v>
      </c>
      <c r="B76" s="113"/>
      <c r="C76" s="28"/>
      <c r="D76" s="118"/>
      <c r="E76" s="72"/>
      <c r="F76" s="113"/>
      <c r="G76" s="113"/>
      <c r="H76" s="113"/>
      <c r="I76" s="313"/>
      <c r="J76" s="142"/>
      <c r="K76" s="213"/>
      <c r="L76" s="72"/>
      <c r="M76" s="27"/>
      <c r="N76" s="118"/>
      <c r="O76" s="72"/>
      <c r="P76" s="72"/>
      <c r="Q76" s="72"/>
      <c r="R76" s="72"/>
      <c r="S76" s="222">
        <f t="shared" si="121"/>
        <v>0</v>
      </c>
      <c r="T76" s="290"/>
      <c r="U76" s="290"/>
      <c r="V76" s="290"/>
      <c r="W76" s="48"/>
      <c r="X76" s="16"/>
      <c r="Y76" s="14">
        <f t="shared" si="197"/>
        <v>0</v>
      </c>
      <c r="Z76" s="16"/>
      <c r="AA76" s="16"/>
      <c r="AB76" s="181"/>
      <c r="AC76" s="260">
        <f t="shared" si="177"/>
        <v>0</v>
      </c>
      <c r="AD76" s="264"/>
      <c r="AE76" s="24"/>
      <c r="AF76" s="258"/>
      <c r="AG76" s="48">
        <f t="shared" si="122"/>
        <v>0</v>
      </c>
      <c r="AH76" s="48">
        <f t="shared" si="123"/>
        <v>0</v>
      </c>
      <c r="AI76" s="102">
        <f t="shared" si="56"/>
        <v>0</v>
      </c>
      <c r="AJ76" s="27">
        <f t="shared" si="274"/>
        <v>0</v>
      </c>
      <c r="AL76" s="28"/>
      <c r="AM76" s="25">
        <f t="shared" si="125"/>
        <v>0</v>
      </c>
      <c r="AN76" s="56">
        <f t="shared" si="110"/>
        <v>0</v>
      </c>
      <c r="AO76" s="251" t="s">
        <v>218</v>
      </c>
      <c r="AP76" s="194">
        <f t="shared" si="126"/>
        <v>0</v>
      </c>
      <c r="AQ76" s="208"/>
      <c r="AR76" s="203">
        <f t="shared" si="127"/>
        <v>0</v>
      </c>
      <c r="AS76" s="189"/>
      <c r="AT76" s="198">
        <f t="shared" si="178"/>
        <v>0</v>
      </c>
      <c r="AU76" s="199">
        <f t="shared" si="128"/>
        <v>0</v>
      </c>
      <c r="AV76" s="222">
        <f t="shared" si="129"/>
        <v>0</v>
      </c>
      <c r="AW76" s="118"/>
      <c r="AX76" s="103">
        <f t="shared" si="179"/>
        <v>0</v>
      </c>
      <c r="AY76" s="192">
        <f t="shared" si="130"/>
        <v>0</v>
      </c>
      <c r="AZ76" s="192"/>
      <c r="BA76" s="192">
        <f t="shared" si="131"/>
        <v>0</v>
      </c>
      <c r="BB76" s="113">
        <f t="shared" si="132"/>
        <v>0</v>
      </c>
      <c r="BC76" s="113">
        <f t="shared" si="133"/>
        <v>0</v>
      </c>
      <c r="BD76" s="270">
        <f t="shared" si="173"/>
        <v>0</v>
      </c>
      <c r="BE76" s="228">
        <f t="shared" si="134"/>
        <v>0</v>
      </c>
      <c r="BF76" s="268">
        <f t="shared" si="291"/>
        <v>0</v>
      </c>
      <c r="BG76" s="268">
        <f t="shared" si="290"/>
        <v>0</v>
      </c>
      <c r="BH76" s="118"/>
      <c r="BI76" s="72">
        <f t="shared" si="68"/>
        <v>0</v>
      </c>
      <c r="BJ76" s="73"/>
      <c r="BK76" s="230">
        <f t="shared" si="83"/>
        <v>0</v>
      </c>
      <c r="BL76" s="3">
        <f t="shared" si="86"/>
        <v>0</v>
      </c>
      <c r="BM76" s="3">
        <f t="shared" si="87"/>
        <v>0</v>
      </c>
      <c r="BN76" s="10">
        <f t="shared" si="136"/>
        <v>0</v>
      </c>
      <c r="BO76" s="3">
        <f t="shared" si="137"/>
        <v>0</v>
      </c>
      <c r="BP76" s="3">
        <f t="shared" si="138"/>
        <v>0</v>
      </c>
      <c r="BQ76" s="3">
        <f t="shared" si="139"/>
        <v>0</v>
      </c>
      <c r="BR76" s="3">
        <f t="shared" si="140"/>
        <v>0</v>
      </c>
      <c r="BS76" s="3">
        <f t="shared" si="141"/>
        <v>0</v>
      </c>
      <c r="BT76" s="3"/>
      <c r="BU76" s="3">
        <f t="shared" si="142"/>
        <v>0</v>
      </c>
      <c r="BV76" s="3">
        <f t="shared" si="143"/>
        <v>0</v>
      </c>
      <c r="BW76" s="3">
        <f t="shared" si="144"/>
        <v>0</v>
      </c>
      <c r="BX76" s="3">
        <f t="shared" si="145"/>
        <v>0</v>
      </c>
      <c r="BY76" s="3">
        <f t="shared" si="146"/>
        <v>0</v>
      </c>
      <c r="BZ76" s="3">
        <f t="shared" si="147"/>
        <v>0</v>
      </c>
      <c r="CA76" s="3">
        <f t="shared" si="148"/>
        <v>0</v>
      </c>
      <c r="CB76" s="3">
        <f t="shared" si="149"/>
        <v>0</v>
      </c>
      <c r="CC76" s="3">
        <f t="shared" si="150"/>
        <v>0</v>
      </c>
      <c r="CD76" s="3">
        <f t="shared" si="151"/>
        <v>0</v>
      </c>
      <c r="CE76" s="3">
        <f t="shared" si="152"/>
        <v>0</v>
      </c>
      <c r="CF76" s="3">
        <f t="shared" si="153"/>
        <v>0</v>
      </c>
      <c r="CG76" s="3">
        <f t="shared" si="88"/>
        <v>0</v>
      </c>
      <c r="CH76" s="3">
        <f t="shared" si="89"/>
        <v>0</v>
      </c>
      <c r="CI76" s="3"/>
      <c r="CJ76" s="3">
        <f t="shared" si="154"/>
        <v>0</v>
      </c>
      <c r="CK76" s="3">
        <f t="shared" si="155"/>
        <v>12.96</v>
      </c>
      <c r="CL76" s="3">
        <f t="shared" si="90"/>
        <v>0</v>
      </c>
      <c r="CM76" s="3">
        <f t="shared" si="91"/>
        <v>0</v>
      </c>
      <c r="CN76" s="10">
        <f t="shared" si="156"/>
        <v>0</v>
      </c>
      <c r="CO76" s="3">
        <f t="shared" si="157"/>
        <v>0</v>
      </c>
      <c r="CP76" s="3">
        <f t="shared" si="92"/>
        <v>0</v>
      </c>
      <c r="CQ76" s="3">
        <f t="shared" si="93"/>
        <v>1</v>
      </c>
      <c r="CR76" s="3">
        <f t="shared" si="180"/>
        <v>0</v>
      </c>
      <c r="CS76" s="3"/>
      <c r="CT76" s="3">
        <f t="shared" si="158"/>
        <v>0</v>
      </c>
      <c r="CU76" s="3">
        <f t="shared" si="94"/>
        <v>0</v>
      </c>
      <c r="CV76" s="3"/>
      <c r="CW76" s="3"/>
      <c r="CX76" s="3"/>
      <c r="DD76">
        <f t="shared" si="275"/>
        <v>4.5000000000000005E-2</v>
      </c>
      <c r="DE76">
        <f t="shared" si="276"/>
        <v>0</v>
      </c>
      <c r="DF76">
        <f t="shared" si="277"/>
        <v>0</v>
      </c>
      <c r="DG76">
        <f t="shared" si="278"/>
        <v>0</v>
      </c>
      <c r="DH76">
        <f t="shared" si="279"/>
        <v>0</v>
      </c>
      <c r="DI76">
        <f t="shared" si="280"/>
        <v>0</v>
      </c>
      <c r="DJ76">
        <f t="shared" si="281"/>
        <v>0</v>
      </c>
      <c r="DK76">
        <f t="shared" si="282"/>
        <v>0</v>
      </c>
      <c r="DL76">
        <f t="shared" si="283"/>
        <v>0</v>
      </c>
      <c r="DN76">
        <f t="shared" si="284"/>
        <v>0</v>
      </c>
      <c r="DP76">
        <f t="shared" si="285"/>
        <v>0</v>
      </c>
      <c r="DQ76">
        <f t="shared" si="286"/>
        <v>0</v>
      </c>
      <c r="DR76">
        <f t="shared" si="287"/>
        <v>0</v>
      </c>
      <c r="DU76">
        <f t="shared" si="288"/>
        <v>0</v>
      </c>
    </row>
    <row r="77" spans="1:125" ht="17.25" x14ac:dyDescent="0.3">
      <c r="A77" s="72">
        <f t="shared" si="107"/>
        <v>0</v>
      </c>
      <c r="B77" s="113"/>
      <c r="C77" s="28"/>
      <c r="D77" s="118"/>
      <c r="E77" s="72"/>
      <c r="F77" s="113"/>
      <c r="G77" s="113"/>
      <c r="H77" s="113"/>
      <c r="I77" s="313"/>
      <c r="J77" s="142"/>
      <c r="K77" s="213"/>
      <c r="L77" s="72"/>
      <c r="M77" s="27"/>
      <c r="N77" s="118"/>
      <c r="O77" s="72"/>
      <c r="P77" s="72"/>
      <c r="Q77" s="72"/>
      <c r="R77" s="72"/>
      <c r="S77" s="222">
        <f t="shared" si="121"/>
        <v>0</v>
      </c>
      <c r="T77" s="290"/>
      <c r="U77" s="290"/>
      <c r="V77" s="290"/>
      <c r="W77" s="48"/>
      <c r="X77" s="16"/>
      <c r="Y77" s="14">
        <f t="shared" si="197"/>
        <v>0</v>
      </c>
      <c r="Z77" s="16"/>
      <c r="AA77" s="16"/>
      <c r="AB77" s="181"/>
      <c r="AC77" s="260">
        <f t="shared" si="177"/>
        <v>0</v>
      </c>
      <c r="AD77" s="264"/>
      <c r="AE77" s="24"/>
      <c r="AF77" s="258"/>
      <c r="AG77" s="48">
        <f t="shared" si="122"/>
        <v>0</v>
      </c>
      <c r="AH77" s="48">
        <f t="shared" si="123"/>
        <v>0</v>
      </c>
      <c r="AI77" s="102">
        <f t="shared" si="56"/>
        <v>0</v>
      </c>
      <c r="AJ77" s="27">
        <f t="shared" si="274"/>
        <v>0</v>
      </c>
      <c r="AL77" s="28"/>
      <c r="AM77" s="25">
        <f t="shared" si="125"/>
        <v>0</v>
      </c>
      <c r="AN77" s="56">
        <f t="shared" si="110"/>
        <v>0</v>
      </c>
      <c r="AO77" s="251" t="s">
        <v>218</v>
      </c>
      <c r="AP77" s="194">
        <f t="shared" si="126"/>
        <v>0</v>
      </c>
      <c r="AQ77" s="208"/>
      <c r="AR77" s="203">
        <f t="shared" si="127"/>
        <v>0</v>
      </c>
      <c r="AS77" s="189"/>
      <c r="AT77" s="198">
        <f t="shared" si="178"/>
        <v>0</v>
      </c>
      <c r="AU77" s="199">
        <f t="shared" si="128"/>
        <v>0</v>
      </c>
      <c r="AV77" s="222">
        <f t="shared" si="129"/>
        <v>0</v>
      </c>
      <c r="AW77" s="118"/>
      <c r="AX77" s="103">
        <f t="shared" si="179"/>
        <v>0</v>
      </c>
      <c r="AY77" s="192">
        <f t="shared" si="130"/>
        <v>0</v>
      </c>
      <c r="AZ77" s="192"/>
      <c r="BA77" s="192">
        <f t="shared" si="131"/>
        <v>0</v>
      </c>
      <c r="BB77" s="113">
        <f t="shared" si="132"/>
        <v>0</v>
      </c>
      <c r="BC77" s="113">
        <f t="shared" si="133"/>
        <v>0</v>
      </c>
      <c r="BD77" s="270">
        <f t="shared" si="173"/>
        <v>0</v>
      </c>
      <c r="BE77" s="228">
        <f t="shared" si="134"/>
        <v>0</v>
      </c>
      <c r="BF77" s="268">
        <f t="shared" si="291"/>
        <v>0</v>
      </c>
      <c r="BG77" s="268">
        <f t="shared" si="290"/>
        <v>0</v>
      </c>
      <c r="BH77" s="118"/>
      <c r="BI77" s="72">
        <f t="shared" si="68"/>
        <v>0</v>
      </c>
      <c r="BJ77" s="73"/>
      <c r="BK77" s="230">
        <f t="shared" si="83"/>
        <v>0</v>
      </c>
      <c r="BL77" s="3">
        <f t="shared" si="86"/>
        <v>0</v>
      </c>
      <c r="BM77" s="3">
        <f t="shared" si="87"/>
        <v>0</v>
      </c>
      <c r="BN77" s="10">
        <f t="shared" si="136"/>
        <v>0</v>
      </c>
      <c r="BO77" s="3">
        <f t="shared" si="137"/>
        <v>0</v>
      </c>
      <c r="BP77" s="3">
        <f t="shared" si="138"/>
        <v>0</v>
      </c>
      <c r="BQ77" s="3">
        <f t="shared" si="139"/>
        <v>0</v>
      </c>
      <c r="BR77" s="3">
        <f t="shared" si="140"/>
        <v>0</v>
      </c>
      <c r="BS77" s="3">
        <f t="shared" si="141"/>
        <v>0</v>
      </c>
      <c r="BT77" s="3"/>
      <c r="BU77" s="3">
        <f t="shared" si="142"/>
        <v>0</v>
      </c>
      <c r="BV77" s="3">
        <f t="shared" si="143"/>
        <v>0</v>
      </c>
      <c r="BW77" s="3">
        <f t="shared" si="144"/>
        <v>0</v>
      </c>
      <c r="BX77" s="3">
        <f t="shared" si="145"/>
        <v>0</v>
      </c>
      <c r="BY77" s="3">
        <f t="shared" si="146"/>
        <v>0</v>
      </c>
      <c r="BZ77" s="3">
        <f t="shared" si="147"/>
        <v>0</v>
      </c>
      <c r="CA77" s="3">
        <f t="shared" si="148"/>
        <v>0</v>
      </c>
      <c r="CB77" s="3">
        <f t="shared" si="149"/>
        <v>0</v>
      </c>
      <c r="CC77" s="3">
        <f t="shared" si="150"/>
        <v>0</v>
      </c>
      <c r="CD77" s="3">
        <f t="shared" si="151"/>
        <v>0</v>
      </c>
      <c r="CE77" s="3">
        <f t="shared" si="152"/>
        <v>0</v>
      </c>
      <c r="CF77" s="3">
        <f t="shared" si="153"/>
        <v>0</v>
      </c>
      <c r="CG77" s="3">
        <f t="shared" si="88"/>
        <v>0</v>
      </c>
      <c r="CH77" s="3">
        <f t="shared" si="89"/>
        <v>0</v>
      </c>
      <c r="CI77" s="3"/>
      <c r="CJ77" s="3">
        <f t="shared" si="154"/>
        <v>0</v>
      </c>
      <c r="CK77" s="3">
        <f t="shared" si="155"/>
        <v>12.96</v>
      </c>
      <c r="CL77" s="3">
        <f t="shared" si="90"/>
        <v>0</v>
      </c>
      <c r="CM77" s="3">
        <f t="shared" si="91"/>
        <v>0</v>
      </c>
      <c r="CN77" s="10">
        <f t="shared" si="156"/>
        <v>0</v>
      </c>
      <c r="CO77" s="3">
        <f t="shared" si="157"/>
        <v>0</v>
      </c>
      <c r="CP77" s="3">
        <f t="shared" si="92"/>
        <v>0</v>
      </c>
      <c r="CQ77" s="3">
        <f t="shared" si="93"/>
        <v>1</v>
      </c>
      <c r="CR77" s="3">
        <f t="shared" si="180"/>
        <v>0</v>
      </c>
      <c r="CS77" s="3"/>
      <c r="CT77" s="3">
        <f t="shared" si="158"/>
        <v>0</v>
      </c>
      <c r="CU77" s="3">
        <f t="shared" si="94"/>
        <v>0</v>
      </c>
      <c r="CV77" s="3"/>
      <c r="CW77" s="3"/>
      <c r="CX77" s="3"/>
      <c r="DD77">
        <f t="shared" si="275"/>
        <v>4.5000000000000005E-2</v>
      </c>
      <c r="DE77">
        <f t="shared" si="276"/>
        <v>0</v>
      </c>
      <c r="DF77">
        <f t="shared" si="277"/>
        <v>0</v>
      </c>
      <c r="DG77">
        <f t="shared" si="278"/>
        <v>0</v>
      </c>
      <c r="DH77">
        <f t="shared" si="279"/>
        <v>0</v>
      </c>
      <c r="DI77">
        <f t="shared" si="280"/>
        <v>0</v>
      </c>
      <c r="DJ77">
        <f t="shared" si="281"/>
        <v>0</v>
      </c>
      <c r="DK77">
        <f t="shared" si="282"/>
        <v>0</v>
      </c>
      <c r="DL77">
        <f t="shared" si="283"/>
        <v>0</v>
      </c>
      <c r="DN77">
        <f t="shared" si="284"/>
        <v>0</v>
      </c>
      <c r="DP77">
        <f t="shared" si="285"/>
        <v>0</v>
      </c>
      <c r="DQ77">
        <f t="shared" si="286"/>
        <v>0</v>
      </c>
      <c r="DR77">
        <f t="shared" si="287"/>
        <v>0</v>
      </c>
      <c r="DU77">
        <f t="shared" si="288"/>
        <v>0</v>
      </c>
    </row>
    <row r="78" spans="1:125" ht="17.25" x14ac:dyDescent="0.3">
      <c r="A78" s="72">
        <f t="shared" si="107"/>
        <v>0</v>
      </c>
      <c r="B78" s="113"/>
      <c r="C78" s="28"/>
      <c r="D78" s="118"/>
      <c r="E78" s="72"/>
      <c r="F78" s="113"/>
      <c r="G78" s="113"/>
      <c r="H78" s="113"/>
      <c r="I78" s="313"/>
      <c r="J78" s="142"/>
      <c r="K78" s="213"/>
      <c r="L78" s="72"/>
      <c r="M78" s="27"/>
      <c r="N78" s="118"/>
      <c r="O78" s="72"/>
      <c r="P78" s="72"/>
      <c r="Q78" s="72"/>
      <c r="R78" s="72"/>
      <c r="S78" s="222">
        <f t="shared" si="121"/>
        <v>0</v>
      </c>
      <c r="T78" s="290"/>
      <c r="U78" s="290"/>
      <c r="V78" s="290"/>
      <c r="W78" s="48"/>
      <c r="X78" s="16"/>
      <c r="Y78" s="14">
        <f t="shared" si="197"/>
        <v>0</v>
      </c>
      <c r="Z78" s="16"/>
      <c r="AA78" s="16"/>
      <c r="AB78" s="181"/>
      <c r="AC78" s="260">
        <f t="shared" si="177"/>
        <v>0</v>
      </c>
      <c r="AD78" s="264"/>
      <c r="AE78" s="24"/>
      <c r="AF78" s="258"/>
      <c r="AG78" s="48">
        <f t="shared" si="122"/>
        <v>0</v>
      </c>
      <c r="AH78" s="48">
        <f t="shared" si="123"/>
        <v>0</v>
      </c>
      <c r="AI78" s="102">
        <f t="shared" si="56"/>
        <v>0</v>
      </c>
      <c r="AJ78" s="27">
        <f t="shared" si="274"/>
        <v>0</v>
      </c>
      <c r="AL78" s="28"/>
      <c r="AM78" s="25">
        <f t="shared" si="125"/>
        <v>0</v>
      </c>
      <c r="AN78" s="56">
        <f t="shared" si="110"/>
        <v>0</v>
      </c>
      <c r="AO78" s="251" t="s">
        <v>218</v>
      </c>
      <c r="AP78" s="194">
        <f t="shared" si="126"/>
        <v>0</v>
      </c>
      <c r="AQ78" s="208"/>
      <c r="AR78" s="203">
        <f t="shared" si="127"/>
        <v>0</v>
      </c>
      <c r="AS78" s="189"/>
      <c r="AT78" s="198">
        <f t="shared" si="178"/>
        <v>0</v>
      </c>
      <c r="AU78" s="199">
        <f t="shared" si="128"/>
        <v>0</v>
      </c>
      <c r="AV78" s="222">
        <f t="shared" si="129"/>
        <v>0</v>
      </c>
      <c r="AW78" s="118"/>
      <c r="AX78" s="103">
        <f t="shared" si="179"/>
        <v>0</v>
      </c>
      <c r="AY78" s="192">
        <f t="shared" si="130"/>
        <v>0</v>
      </c>
      <c r="AZ78" s="192"/>
      <c r="BA78" s="192">
        <f t="shared" si="131"/>
        <v>0</v>
      </c>
      <c r="BB78" s="113">
        <f t="shared" si="132"/>
        <v>0</v>
      </c>
      <c r="BC78" s="113">
        <f t="shared" si="133"/>
        <v>0</v>
      </c>
      <c r="BD78" s="270">
        <f t="shared" si="173"/>
        <v>0</v>
      </c>
      <c r="BE78" s="228">
        <f t="shared" si="134"/>
        <v>0</v>
      </c>
      <c r="BF78" s="268">
        <f t="shared" si="291"/>
        <v>0</v>
      </c>
      <c r="BG78" s="268">
        <f t="shared" si="290"/>
        <v>0</v>
      </c>
      <c r="BH78" s="118"/>
      <c r="BI78" s="72">
        <f t="shared" si="68"/>
        <v>0</v>
      </c>
      <c r="BJ78" s="73"/>
      <c r="BK78" s="230">
        <f t="shared" si="83"/>
        <v>0</v>
      </c>
      <c r="BL78" s="3">
        <f t="shared" si="86"/>
        <v>0</v>
      </c>
      <c r="BM78" s="3">
        <f t="shared" si="87"/>
        <v>0</v>
      </c>
      <c r="BN78" s="10">
        <f t="shared" si="136"/>
        <v>0</v>
      </c>
      <c r="BO78" s="3">
        <f t="shared" si="137"/>
        <v>0</v>
      </c>
      <c r="BP78" s="3">
        <f t="shared" si="138"/>
        <v>0</v>
      </c>
      <c r="BQ78" s="3">
        <f t="shared" si="139"/>
        <v>0</v>
      </c>
      <c r="BR78" s="3">
        <f t="shared" si="140"/>
        <v>0</v>
      </c>
      <c r="BS78" s="3">
        <f t="shared" si="141"/>
        <v>0</v>
      </c>
      <c r="BT78" s="3"/>
      <c r="BU78" s="3">
        <f t="shared" si="142"/>
        <v>0</v>
      </c>
      <c r="BV78" s="3">
        <f t="shared" si="143"/>
        <v>0</v>
      </c>
      <c r="BW78" s="3">
        <f t="shared" si="144"/>
        <v>0</v>
      </c>
      <c r="BX78" s="3">
        <f t="shared" si="145"/>
        <v>0</v>
      </c>
      <c r="BY78" s="3">
        <f t="shared" si="146"/>
        <v>0</v>
      </c>
      <c r="BZ78" s="3">
        <f t="shared" si="147"/>
        <v>0</v>
      </c>
      <c r="CA78" s="3">
        <f t="shared" si="148"/>
        <v>0</v>
      </c>
      <c r="CB78" s="3">
        <f t="shared" si="149"/>
        <v>0</v>
      </c>
      <c r="CC78" s="3">
        <f t="shared" si="150"/>
        <v>0</v>
      </c>
      <c r="CD78" s="3">
        <f t="shared" si="151"/>
        <v>0</v>
      </c>
      <c r="CE78" s="3">
        <f t="shared" si="152"/>
        <v>0</v>
      </c>
      <c r="CF78" s="3">
        <f t="shared" si="153"/>
        <v>0</v>
      </c>
      <c r="CG78" s="3">
        <f t="shared" si="88"/>
        <v>0</v>
      </c>
      <c r="CH78" s="3">
        <f t="shared" si="89"/>
        <v>0</v>
      </c>
      <c r="CI78" s="3"/>
      <c r="CJ78" s="3">
        <f t="shared" si="154"/>
        <v>0</v>
      </c>
      <c r="CK78" s="3">
        <f t="shared" si="155"/>
        <v>12.96</v>
      </c>
      <c r="CL78" s="3">
        <f t="shared" si="90"/>
        <v>0</v>
      </c>
      <c r="CM78" s="3">
        <f t="shared" si="91"/>
        <v>0</v>
      </c>
      <c r="CN78" s="10">
        <f t="shared" si="156"/>
        <v>0</v>
      </c>
      <c r="CO78" s="3">
        <f t="shared" si="157"/>
        <v>0</v>
      </c>
      <c r="CP78" s="3">
        <f t="shared" si="92"/>
        <v>0</v>
      </c>
      <c r="CQ78" s="3">
        <f t="shared" si="93"/>
        <v>1</v>
      </c>
      <c r="CR78" s="3">
        <f t="shared" si="180"/>
        <v>0</v>
      </c>
      <c r="CS78" s="3"/>
      <c r="CT78" s="3">
        <f t="shared" si="158"/>
        <v>0</v>
      </c>
      <c r="CU78" s="3">
        <f t="shared" si="94"/>
        <v>0</v>
      </c>
      <c r="CV78" s="3"/>
      <c r="CW78" s="3"/>
      <c r="CX78" s="3"/>
      <c r="DD78">
        <f t="shared" si="275"/>
        <v>4.5000000000000005E-2</v>
      </c>
      <c r="DE78">
        <f t="shared" si="276"/>
        <v>0</v>
      </c>
      <c r="DF78">
        <f t="shared" si="277"/>
        <v>0</v>
      </c>
      <c r="DG78">
        <f t="shared" si="278"/>
        <v>0</v>
      </c>
      <c r="DH78">
        <f t="shared" si="279"/>
        <v>0</v>
      </c>
      <c r="DI78">
        <f t="shared" si="280"/>
        <v>0</v>
      </c>
      <c r="DJ78">
        <f t="shared" si="281"/>
        <v>0</v>
      </c>
      <c r="DK78">
        <f t="shared" si="282"/>
        <v>0</v>
      </c>
      <c r="DL78">
        <f t="shared" si="283"/>
        <v>0</v>
      </c>
      <c r="DN78">
        <f t="shared" si="284"/>
        <v>0</v>
      </c>
      <c r="DP78">
        <f t="shared" si="285"/>
        <v>0</v>
      </c>
      <c r="DQ78">
        <f t="shared" si="286"/>
        <v>0</v>
      </c>
      <c r="DR78">
        <f t="shared" si="287"/>
        <v>0</v>
      </c>
      <c r="DU78">
        <f t="shared" si="288"/>
        <v>0</v>
      </c>
    </row>
    <row r="79" spans="1:125" ht="17.25" x14ac:dyDescent="0.3">
      <c r="A79" s="72">
        <f t="shared" si="107"/>
        <v>0</v>
      </c>
      <c r="B79" s="113"/>
      <c r="C79" s="28"/>
      <c r="D79" s="118"/>
      <c r="E79" s="72"/>
      <c r="F79" s="113"/>
      <c r="G79" s="113"/>
      <c r="H79" s="113"/>
      <c r="I79" s="313"/>
      <c r="J79" s="142"/>
      <c r="K79" s="213"/>
      <c r="L79" s="72"/>
      <c r="M79" s="27"/>
      <c r="N79" s="118"/>
      <c r="O79" s="72"/>
      <c r="P79" s="72"/>
      <c r="Q79" s="72"/>
      <c r="R79" s="72"/>
      <c r="S79" s="222">
        <f t="shared" si="121"/>
        <v>0</v>
      </c>
      <c r="T79" s="290"/>
      <c r="U79" s="290"/>
      <c r="V79" s="290"/>
      <c r="W79" s="48"/>
      <c r="X79" s="16"/>
      <c r="Y79" s="14">
        <f t="shared" si="197"/>
        <v>0</v>
      </c>
      <c r="Z79" s="16"/>
      <c r="AA79" s="16"/>
      <c r="AB79" s="181"/>
      <c r="AC79" s="260">
        <f t="shared" si="177"/>
        <v>0</v>
      </c>
      <c r="AD79" s="264"/>
      <c r="AE79" s="24"/>
      <c r="AF79" s="258"/>
      <c r="AG79" s="48">
        <f t="shared" si="122"/>
        <v>0</v>
      </c>
      <c r="AH79" s="48">
        <f t="shared" si="123"/>
        <v>0</v>
      </c>
      <c r="AI79" s="102">
        <f t="shared" si="56"/>
        <v>0</v>
      </c>
      <c r="AJ79" s="27">
        <f t="shared" si="274"/>
        <v>0</v>
      </c>
      <c r="AL79" s="28"/>
      <c r="AM79" s="25">
        <f t="shared" si="125"/>
        <v>0</v>
      </c>
      <c r="AN79" s="56">
        <f t="shared" si="110"/>
        <v>0</v>
      </c>
      <c r="AO79" s="251" t="s">
        <v>218</v>
      </c>
      <c r="AP79" s="194">
        <f t="shared" si="126"/>
        <v>0</v>
      </c>
      <c r="AQ79" s="208"/>
      <c r="AR79" s="203">
        <f t="shared" si="127"/>
        <v>0</v>
      </c>
      <c r="AS79" s="189"/>
      <c r="AT79" s="198">
        <f t="shared" si="178"/>
        <v>0</v>
      </c>
      <c r="AU79" s="199">
        <f t="shared" si="128"/>
        <v>0</v>
      </c>
      <c r="AV79" s="222">
        <f t="shared" si="129"/>
        <v>0</v>
      </c>
      <c r="AW79" s="118"/>
      <c r="AX79" s="103">
        <f t="shared" si="179"/>
        <v>0</v>
      </c>
      <c r="AY79" s="192">
        <f t="shared" si="130"/>
        <v>0</v>
      </c>
      <c r="AZ79" s="192"/>
      <c r="BA79" s="192">
        <f t="shared" si="131"/>
        <v>0</v>
      </c>
      <c r="BB79" s="113">
        <f t="shared" si="132"/>
        <v>0</v>
      </c>
      <c r="BC79" s="113">
        <f t="shared" si="133"/>
        <v>0</v>
      </c>
      <c r="BD79" s="270">
        <f t="shared" si="173"/>
        <v>0</v>
      </c>
      <c r="BE79" s="228">
        <f t="shared" si="134"/>
        <v>0</v>
      </c>
      <c r="BF79" s="268">
        <f t="shared" si="291"/>
        <v>0</v>
      </c>
      <c r="BG79" s="268">
        <f t="shared" si="290"/>
        <v>0</v>
      </c>
      <c r="BH79" s="118"/>
      <c r="BI79" s="72">
        <f t="shared" si="68"/>
        <v>0</v>
      </c>
      <c r="BJ79" s="73"/>
      <c r="BK79" s="230">
        <f t="shared" si="83"/>
        <v>0</v>
      </c>
      <c r="BL79" s="3">
        <f t="shared" si="86"/>
        <v>0</v>
      </c>
      <c r="BM79" s="3">
        <f t="shared" si="87"/>
        <v>0</v>
      </c>
      <c r="BN79" s="10">
        <f t="shared" si="136"/>
        <v>0</v>
      </c>
      <c r="BO79" s="3">
        <f t="shared" si="137"/>
        <v>0</v>
      </c>
      <c r="BP79" s="3">
        <f t="shared" si="138"/>
        <v>0</v>
      </c>
      <c r="BQ79" s="3">
        <f t="shared" si="139"/>
        <v>0</v>
      </c>
      <c r="BR79" s="3">
        <f t="shared" si="140"/>
        <v>0</v>
      </c>
      <c r="BS79" s="3">
        <f t="shared" si="141"/>
        <v>0</v>
      </c>
      <c r="BT79" s="3"/>
      <c r="BU79" s="3">
        <f t="shared" ref="BU79:BU102" si="292">K79*IF(A79&lt;4.501,IF(A79&gt;2.5,1,0),0)</f>
        <v>0</v>
      </c>
      <c r="BV79" s="3">
        <f t="shared" ref="BV79:BV102" si="293">K79*IF(A79&lt;5.501,IF(A79&gt;4.5001,1,0),0)</f>
        <v>0</v>
      </c>
      <c r="BW79" s="3">
        <f t="shared" ref="BW79:BW102" si="294">K79*IF(A79&lt;6.501,IF(A79&gt;5.5001,1,0),0)</f>
        <v>0</v>
      </c>
      <c r="BX79" s="3">
        <f t="shared" ref="BX79:BX102" si="295">K79*IF(A79&lt;7.501,IF(A79&gt;6.5001,1,0),0)</f>
        <v>0</v>
      </c>
      <c r="BY79" s="3">
        <f t="shared" ref="BY79:BY102" si="296">K79*IF(A79&gt;7.501,1,0)</f>
        <v>0</v>
      </c>
      <c r="BZ79" s="3">
        <f t="shared" ref="BZ79:BZ102" si="297">M79*IF(A79=1.352,1,0)</f>
        <v>0</v>
      </c>
      <c r="CA79" s="3">
        <f t="shared" si="148"/>
        <v>0</v>
      </c>
      <c r="CB79" s="3">
        <f t="shared" ref="CB79:CB102" si="298">M79*IF(A79=1.859,1,0)</f>
        <v>0</v>
      </c>
      <c r="CC79" s="3">
        <f t="shared" ref="CC79:CC102" si="299">M79*IF(A79=1.54,1,0)</f>
        <v>0</v>
      </c>
      <c r="CD79" s="3">
        <f t="shared" ref="CD79:CD102" si="300">M79*IF(A79=1.12,1,0)</f>
        <v>0</v>
      </c>
      <c r="CE79" s="3">
        <f t="shared" ref="CE79:CE102" si="301">M79*IF(A79=(0.55*0.715),1,0)</f>
        <v>0</v>
      </c>
      <c r="CF79" s="3">
        <f t="shared" ref="CF79:CF102" si="302">M79*IF(A79=(1.02*0.715),1,0)</f>
        <v>0</v>
      </c>
      <c r="CG79" s="3">
        <f t="shared" si="88"/>
        <v>0</v>
      </c>
      <c r="CH79" s="3">
        <f t="shared" si="89"/>
        <v>0</v>
      </c>
      <c r="CI79" s="3"/>
      <c r="CJ79" s="3">
        <f t="shared" si="154"/>
        <v>0</v>
      </c>
      <c r="CK79" s="3">
        <f t="shared" si="155"/>
        <v>12.96</v>
      </c>
      <c r="CL79" s="3">
        <f t="shared" si="90"/>
        <v>0</v>
      </c>
      <c r="CM79" s="3">
        <f t="shared" si="91"/>
        <v>0</v>
      </c>
      <c r="CN79" s="10">
        <f t="shared" si="156"/>
        <v>0</v>
      </c>
      <c r="CO79" s="3">
        <f t="shared" si="157"/>
        <v>0</v>
      </c>
      <c r="CP79" s="3">
        <f t="shared" si="92"/>
        <v>0</v>
      </c>
      <c r="CQ79" s="3">
        <f t="shared" si="93"/>
        <v>1</v>
      </c>
      <c r="CR79" s="3">
        <f t="shared" si="180"/>
        <v>0</v>
      </c>
      <c r="CS79" s="3"/>
      <c r="CT79" s="3">
        <f t="shared" si="158"/>
        <v>0</v>
      </c>
      <c r="CU79" s="3">
        <f t="shared" si="94"/>
        <v>0</v>
      </c>
      <c r="CV79" s="3"/>
      <c r="CW79" s="3"/>
      <c r="CX79" s="3"/>
      <c r="DD79">
        <f t="shared" si="275"/>
        <v>4.5000000000000005E-2</v>
      </c>
      <c r="DE79">
        <f t="shared" si="276"/>
        <v>0</v>
      </c>
      <c r="DF79">
        <f t="shared" si="277"/>
        <v>0</v>
      </c>
      <c r="DG79">
        <f t="shared" si="278"/>
        <v>0</v>
      </c>
      <c r="DH79">
        <f t="shared" si="279"/>
        <v>0</v>
      </c>
      <c r="DI79">
        <f t="shared" si="280"/>
        <v>0</v>
      </c>
      <c r="DJ79">
        <f t="shared" si="281"/>
        <v>0</v>
      </c>
      <c r="DK79">
        <f t="shared" si="282"/>
        <v>0</v>
      </c>
      <c r="DL79">
        <f t="shared" si="283"/>
        <v>0</v>
      </c>
      <c r="DN79">
        <f t="shared" si="284"/>
        <v>0</v>
      </c>
      <c r="DP79">
        <f t="shared" si="285"/>
        <v>0</v>
      </c>
      <c r="DQ79">
        <f t="shared" si="286"/>
        <v>0</v>
      </c>
      <c r="DR79">
        <f t="shared" si="287"/>
        <v>0</v>
      </c>
      <c r="DU79">
        <f t="shared" si="288"/>
        <v>0</v>
      </c>
    </row>
    <row r="80" spans="1:125" ht="17.25" x14ac:dyDescent="0.3">
      <c r="A80" s="72">
        <f t="shared" si="107"/>
        <v>0</v>
      </c>
      <c r="B80" s="113"/>
      <c r="C80" s="28"/>
      <c r="D80" s="118"/>
      <c r="E80" s="72"/>
      <c r="F80" s="113"/>
      <c r="G80" s="113"/>
      <c r="H80" s="113"/>
      <c r="I80" s="313"/>
      <c r="J80" s="142"/>
      <c r="K80" s="213"/>
      <c r="L80" s="72"/>
      <c r="M80" s="27"/>
      <c r="N80" s="118"/>
      <c r="O80" s="72"/>
      <c r="P80" s="72"/>
      <c r="Q80" s="72"/>
      <c r="R80" s="72"/>
      <c r="S80" s="222">
        <f t="shared" si="121"/>
        <v>0</v>
      </c>
      <c r="T80" s="290"/>
      <c r="U80" s="290"/>
      <c r="V80" s="290"/>
      <c r="W80" s="48"/>
      <c r="X80" s="16"/>
      <c r="Y80" s="14">
        <f t="shared" si="197"/>
        <v>0</v>
      </c>
      <c r="Z80" s="16"/>
      <c r="AA80" s="16"/>
      <c r="AB80" s="181"/>
      <c r="AC80" s="260">
        <f t="shared" si="177"/>
        <v>0</v>
      </c>
      <c r="AD80" s="264"/>
      <c r="AE80" s="24"/>
      <c r="AF80" s="258"/>
      <c r="AG80" s="48">
        <f t="shared" si="122"/>
        <v>0</v>
      </c>
      <c r="AH80" s="48">
        <f t="shared" si="123"/>
        <v>0</v>
      </c>
      <c r="AI80" s="102">
        <f t="shared" si="56"/>
        <v>0</v>
      </c>
      <c r="AJ80" s="27">
        <f t="shared" si="274"/>
        <v>0</v>
      </c>
      <c r="AL80" s="28"/>
      <c r="AM80" s="25">
        <f t="shared" si="125"/>
        <v>0</v>
      </c>
      <c r="AN80" s="56">
        <f t="shared" si="110"/>
        <v>0</v>
      </c>
      <c r="AO80" s="251" t="s">
        <v>218</v>
      </c>
      <c r="AP80" s="194">
        <f t="shared" si="126"/>
        <v>0</v>
      </c>
      <c r="AQ80" s="208"/>
      <c r="AR80" s="203">
        <f t="shared" si="127"/>
        <v>0</v>
      </c>
      <c r="AS80" s="189"/>
      <c r="AT80" s="198">
        <f t="shared" si="178"/>
        <v>0</v>
      </c>
      <c r="AU80" s="199">
        <f t="shared" si="128"/>
        <v>0</v>
      </c>
      <c r="AV80" s="222">
        <f t="shared" si="129"/>
        <v>0</v>
      </c>
      <c r="AW80" s="118"/>
      <c r="AX80" s="103">
        <f t="shared" si="179"/>
        <v>0</v>
      </c>
      <c r="AY80" s="192">
        <f t="shared" si="130"/>
        <v>0</v>
      </c>
      <c r="AZ80" s="192"/>
      <c r="BA80" s="192">
        <f t="shared" si="131"/>
        <v>0</v>
      </c>
      <c r="BB80" s="113">
        <f t="shared" si="132"/>
        <v>0</v>
      </c>
      <c r="BC80" s="113">
        <f t="shared" si="133"/>
        <v>0</v>
      </c>
      <c r="BD80" s="270">
        <f t="shared" si="173"/>
        <v>0</v>
      </c>
      <c r="BE80" s="228">
        <f t="shared" si="134"/>
        <v>0</v>
      </c>
      <c r="BF80" s="268">
        <f t="shared" si="291"/>
        <v>0</v>
      </c>
      <c r="BG80" s="268">
        <f t="shared" si="290"/>
        <v>0</v>
      </c>
      <c r="BH80" s="118"/>
      <c r="BI80" s="72">
        <f t="shared" si="68"/>
        <v>0</v>
      </c>
      <c r="BJ80" s="73"/>
      <c r="BK80" s="230">
        <f t="shared" si="83"/>
        <v>0</v>
      </c>
      <c r="BL80" s="3">
        <f t="shared" si="86"/>
        <v>0</v>
      </c>
      <c r="BM80" s="3">
        <f t="shared" si="87"/>
        <v>0</v>
      </c>
      <c r="BN80" s="10">
        <f t="shared" ref="BN80:BN102" si="303">K80-(BU80+BV80+BW80+BX80+BY80)</f>
        <v>0</v>
      </c>
      <c r="BO80" s="3">
        <f t="shared" ref="BO80:BO102" si="304">K80*IF(S80&lt;5,1,0)</f>
        <v>0</v>
      </c>
      <c r="BP80" s="3">
        <f t="shared" ref="BP80:BP102" si="305">K80*IF(S80&lt;10.001,IF(S80&gt;5,1,0),0)</f>
        <v>0</v>
      </c>
      <c r="BQ80" s="3">
        <f t="shared" ref="BQ80:BQ102" si="306">K80*IF(S80&lt;15.001,IF(S80&gt;10,1,0),0)</f>
        <v>0</v>
      </c>
      <c r="BR80" s="3">
        <f t="shared" ref="BR80:BR102" si="307">K80*IF(S80&lt;20.001,IF(S80&gt;15,1,0),0)</f>
        <v>0</v>
      </c>
      <c r="BS80" s="3">
        <f t="shared" ref="BS80:BS102" si="308">K80*IF(S80&gt;20,1,0)</f>
        <v>0</v>
      </c>
      <c r="BT80" s="3"/>
      <c r="BU80" s="3">
        <f t="shared" si="292"/>
        <v>0</v>
      </c>
      <c r="BV80" s="3">
        <f t="shared" si="293"/>
        <v>0</v>
      </c>
      <c r="BW80" s="3">
        <f t="shared" si="294"/>
        <v>0</v>
      </c>
      <c r="BX80" s="3">
        <f t="shared" si="295"/>
        <v>0</v>
      </c>
      <c r="BY80" s="3">
        <f t="shared" si="296"/>
        <v>0</v>
      </c>
      <c r="BZ80" s="3">
        <f t="shared" si="297"/>
        <v>0</v>
      </c>
      <c r="CA80" s="3">
        <f t="shared" ref="CA80:CA102" si="309">M80*P80</f>
        <v>0</v>
      </c>
      <c r="CB80" s="3">
        <f t="shared" si="298"/>
        <v>0</v>
      </c>
      <c r="CC80" s="3">
        <f t="shared" si="299"/>
        <v>0</v>
      </c>
      <c r="CD80" s="3">
        <f t="shared" si="300"/>
        <v>0</v>
      </c>
      <c r="CE80" s="3">
        <f t="shared" si="301"/>
        <v>0</v>
      </c>
      <c r="CF80" s="3">
        <f t="shared" si="302"/>
        <v>0</v>
      </c>
      <c r="CG80" s="3">
        <f t="shared" si="88"/>
        <v>0</v>
      </c>
      <c r="CH80" s="3">
        <f t="shared" si="89"/>
        <v>0</v>
      </c>
      <c r="CI80" s="3"/>
      <c r="CJ80" s="3">
        <f t="shared" ref="CJ80:CJ102" si="310">(N80+1.6)*(O80+1.6)*(K80+M80)</f>
        <v>0</v>
      </c>
      <c r="CK80" s="3">
        <f t="shared" ref="CK80:CK102" si="311">(N80+1.6+2)*(O80+1.6+2)</f>
        <v>12.96</v>
      </c>
      <c r="CL80" s="3">
        <f t="shared" si="90"/>
        <v>0</v>
      </c>
      <c r="CM80" s="3">
        <f t="shared" si="91"/>
        <v>0</v>
      </c>
      <c r="CN80" s="10">
        <f t="shared" ref="CN80:CN102" si="312">(P80+R80)</f>
        <v>0</v>
      </c>
      <c r="CO80" s="3">
        <f t="shared" ref="CO80:CO102" si="313">(K80+M80)*(CN80/3)*(CJ80+CK80+CM80)</f>
        <v>0</v>
      </c>
      <c r="CP80" s="3">
        <f t="shared" si="92"/>
        <v>0</v>
      </c>
      <c r="CQ80" s="3">
        <f t="shared" si="93"/>
        <v>1</v>
      </c>
      <c r="CR80" s="3">
        <f t="shared" si="180"/>
        <v>0</v>
      </c>
      <c r="CS80" s="3"/>
      <c r="CT80" s="3">
        <f t="shared" ref="CT80:CT102" si="314">(CP80-((N80+0.2)*(O80+0.2)*(P80+0.1)+K80*(1.3*1*R80)))*(K80+M80)</f>
        <v>0</v>
      </c>
      <c r="CU80" s="3">
        <f t="shared" si="94"/>
        <v>0</v>
      </c>
      <c r="CV80" s="3"/>
      <c r="CW80" s="3"/>
      <c r="CX80" s="3"/>
      <c r="DD80">
        <f t="shared" si="275"/>
        <v>4.5000000000000005E-2</v>
      </c>
      <c r="DE80">
        <f t="shared" si="276"/>
        <v>0</v>
      </c>
      <c r="DF80">
        <f t="shared" si="277"/>
        <v>0</v>
      </c>
      <c r="DG80">
        <f t="shared" si="278"/>
        <v>0</v>
      </c>
      <c r="DH80">
        <f t="shared" si="279"/>
        <v>0</v>
      </c>
      <c r="DI80">
        <f t="shared" si="280"/>
        <v>0</v>
      </c>
      <c r="DJ80">
        <f t="shared" si="281"/>
        <v>0</v>
      </c>
      <c r="DK80">
        <f t="shared" si="282"/>
        <v>0</v>
      </c>
      <c r="DL80">
        <f t="shared" si="283"/>
        <v>0</v>
      </c>
      <c r="DN80">
        <f t="shared" si="284"/>
        <v>0</v>
      </c>
      <c r="DP80">
        <f t="shared" si="285"/>
        <v>0</v>
      </c>
      <c r="DQ80">
        <f t="shared" si="286"/>
        <v>0</v>
      </c>
      <c r="DR80">
        <f t="shared" si="287"/>
        <v>0</v>
      </c>
      <c r="DU80">
        <f t="shared" si="288"/>
        <v>0</v>
      </c>
    </row>
    <row r="81" spans="1:125" ht="17.25" x14ac:dyDescent="0.3">
      <c r="A81" s="72">
        <f t="shared" si="107"/>
        <v>0</v>
      </c>
      <c r="B81" s="113"/>
      <c r="C81" s="28"/>
      <c r="D81" s="118"/>
      <c r="E81" s="72"/>
      <c r="F81" s="113"/>
      <c r="G81" s="113"/>
      <c r="H81" s="113"/>
      <c r="I81" s="313"/>
      <c r="J81" s="142"/>
      <c r="K81" s="213"/>
      <c r="L81" s="72"/>
      <c r="M81" s="27"/>
      <c r="N81" s="118"/>
      <c r="O81" s="72"/>
      <c r="P81" s="72"/>
      <c r="Q81" s="72"/>
      <c r="R81" s="72"/>
      <c r="S81" s="222">
        <f t="shared" si="121"/>
        <v>0</v>
      </c>
      <c r="T81" s="290"/>
      <c r="U81" s="290"/>
      <c r="V81" s="290"/>
      <c r="W81" s="48"/>
      <c r="X81" s="16"/>
      <c r="Y81" s="14">
        <f t="shared" si="197"/>
        <v>0</v>
      </c>
      <c r="Z81" s="16"/>
      <c r="AA81" s="16"/>
      <c r="AB81" s="181"/>
      <c r="AC81" s="260">
        <f t="shared" si="177"/>
        <v>0</v>
      </c>
      <c r="AD81" s="264"/>
      <c r="AE81" s="24"/>
      <c r="AF81" s="258"/>
      <c r="AG81" s="48">
        <f t="shared" si="122"/>
        <v>0</v>
      </c>
      <c r="AH81" s="48">
        <f t="shared" si="123"/>
        <v>0</v>
      </c>
      <c r="AI81" s="102">
        <f t="shared" si="56"/>
        <v>0</v>
      </c>
      <c r="AJ81" s="27">
        <f t="shared" si="274"/>
        <v>0</v>
      </c>
      <c r="AL81" s="28"/>
      <c r="AM81" s="25">
        <f t="shared" si="125"/>
        <v>0</v>
      </c>
      <c r="AN81" s="56">
        <f t="shared" si="110"/>
        <v>0</v>
      </c>
      <c r="AO81" s="251" t="s">
        <v>218</v>
      </c>
      <c r="AP81" s="194">
        <f t="shared" si="126"/>
        <v>0</v>
      </c>
      <c r="AQ81" s="208"/>
      <c r="AR81" s="203">
        <f t="shared" si="127"/>
        <v>0</v>
      </c>
      <c r="AS81" s="189"/>
      <c r="AT81" s="198">
        <f t="shared" si="178"/>
        <v>0</v>
      </c>
      <c r="AU81" s="199">
        <f t="shared" si="128"/>
        <v>0</v>
      </c>
      <c r="AV81" s="222">
        <f t="shared" si="129"/>
        <v>0</v>
      </c>
      <c r="AW81" s="118"/>
      <c r="AX81" s="103">
        <f t="shared" si="179"/>
        <v>0</v>
      </c>
      <c r="AY81" s="192">
        <f t="shared" si="130"/>
        <v>0</v>
      </c>
      <c r="AZ81" s="192"/>
      <c r="BA81" s="192">
        <f t="shared" si="131"/>
        <v>0</v>
      </c>
      <c r="BB81" s="113">
        <f t="shared" si="132"/>
        <v>0</v>
      </c>
      <c r="BC81" s="113">
        <f t="shared" si="133"/>
        <v>0</v>
      </c>
      <c r="BD81" s="270">
        <f t="shared" si="173"/>
        <v>0</v>
      </c>
      <c r="BE81" s="228">
        <f t="shared" si="134"/>
        <v>0</v>
      </c>
      <c r="BF81" s="268">
        <f t="shared" si="291"/>
        <v>0</v>
      </c>
      <c r="BG81" s="268">
        <f t="shared" si="290"/>
        <v>0</v>
      </c>
      <c r="BH81" s="118"/>
      <c r="BI81" s="72">
        <f t="shared" si="68"/>
        <v>0</v>
      </c>
      <c r="BJ81" s="73"/>
      <c r="BK81" s="230">
        <f t="shared" si="83"/>
        <v>0</v>
      </c>
      <c r="BL81" s="3">
        <f t="shared" si="86"/>
        <v>0</v>
      </c>
      <c r="BM81" s="3">
        <f t="shared" si="87"/>
        <v>0</v>
      </c>
      <c r="BN81" s="10">
        <f t="shared" si="303"/>
        <v>0</v>
      </c>
      <c r="BO81" s="3">
        <f t="shared" si="304"/>
        <v>0</v>
      </c>
      <c r="BP81" s="3">
        <f t="shared" si="305"/>
        <v>0</v>
      </c>
      <c r="BQ81" s="3">
        <f t="shared" si="306"/>
        <v>0</v>
      </c>
      <c r="BR81" s="3">
        <f t="shared" si="307"/>
        <v>0</v>
      </c>
      <c r="BS81" s="3">
        <f t="shared" si="308"/>
        <v>0</v>
      </c>
      <c r="BT81" s="3"/>
      <c r="BU81" s="3">
        <f t="shared" si="292"/>
        <v>0</v>
      </c>
      <c r="BV81" s="3">
        <f t="shared" si="293"/>
        <v>0</v>
      </c>
      <c r="BW81" s="3">
        <f t="shared" si="294"/>
        <v>0</v>
      </c>
      <c r="BX81" s="3">
        <f t="shared" si="295"/>
        <v>0</v>
      </c>
      <c r="BY81" s="3">
        <f t="shared" si="296"/>
        <v>0</v>
      </c>
      <c r="BZ81" s="3">
        <f t="shared" si="297"/>
        <v>0</v>
      </c>
      <c r="CA81" s="3">
        <f t="shared" si="309"/>
        <v>0</v>
      </c>
      <c r="CB81" s="3">
        <f t="shared" si="298"/>
        <v>0</v>
      </c>
      <c r="CC81" s="3">
        <f t="shared" si="299"/>
        <v>0</v>
      </c>
      <c r="CD81" s="3">
        <f t="shared" si="300"/>
        <v>0</v>
      </c>
      <c r="CE81" s="3">
        <f t="shared" si="301"/>
        <v>0</v>
      </c>
      <c r="CF81" s="3">
        <f t="shared" si="302"/>
        <v>0</v>
      </c>
      <c r="CG81" s="3">
        <f t="shared" si="88"/>
        <v>0</v>
      </c>
      <c r="CH81" s="3">
        <f t="shared" si="89"/>
        <v>0</v>
      </c>
      <c r="CI81" s="3"/>
      <c r="CJ81" s="3">
        <f t="shared" si="310"/>
        <v>0</v>
      </c>
      <c r="CK81" s="3">
        <f t="shared" si="311"/>
        <v>12.96</v>
      </c>
      <c r="CL81" s="3">
        <f t="shared" si="90"/>
        <v>0</v>
      </c>
      <c r="CM81" s="3">
        <f t="shared" si="91"/>
        <v>0</v>
      </c>
      <c r="CN81" s="10">
        <f t="shared" si="312"/>
        <v>0</v>
      </c>
      <c r="CO81" s="3">
        <f t="shared" si="313"/>
        <v>0</v>
      </c>
      <c r="CP81" s="3">
        <f t="shared" si="92"/>
        <v>0</v>
      </c>
      <c r="CQ81" s="3">
        <f t="shared" si="93"/>
        <v>1</v>
      </c>
      <c r="CR81" s="3">
        <f t="shared" si="180"/>
        <v>0</v>
      </c>
      <c r="CS81" s="3"/>
      <c r="CT81" s="3">
        <f t="shared" si="314"/>
        <v>0</v>
      </c>
      <c r="CU81" s="3">
        <f t="shared" si="94"/>
        <v>0</v>
      </c>
      <c r="CV81" s="3"/>
      <c r="CW81" s="3"/>
      <c r="CX81" s="3"/>
      <c r="DD81">
        <f t="shared" si="275"/>
        <v>4.5000000000000005E-2</v>
      </c>
      <c r="DE81">
        <f t="shared" si="276"/>
        <v>0</v>
      </c>
      <c r="DF81">
        <f t="shared" si="277"/>
        <v>0</v>
      </c>
      <c r="DG81">
        <f t="shared" si="278"/>
        <v>0</v>
      </c>
      <c r="DH81">
        <f t="shared" si="279"/>
        <v>0</v>
      </c>
      <c r="DI81">
        <f t="shared" si="280"/>
        <v>0</v>
      </c>
      <c r="DJ81">
        <f t="shared" si="281"/>
        <v>0</v>
      </c>
      <c r="DK81">
        <f t="shared" si="282"/>
        <v>0</v>
      </c>
      <c r="DL81">
        <f t="shared" si="283"/>
        <v>0</v>
      </c>
      <c r="DN81">
        <f t="shared" si="284"/>
        <v>0</v>
      </c>
      <c r="DP81">
        <f t="shared" si="285"/>
        <v>0</v>
      </c>
      <c r="DQ81">
        <f t="shared" si="286"/>
        <v>0</v>
      </c>
      <c r="DR81">
        <f t="shared" si="287"/>
        <v>0</v>
      </c>
      <c r="DU81">
        <f t="shared" si="288"/>
        <v>0</v>
      </c>
    </row>
    <row r="82" spans="1:125" ht="17.25" x14ac:dyDescent="0.3">
      <c r="A82" s="72">
        <f t="shared" si="107"/>
        <v>0</v>
      </c>
      <c r="B82" s="113"/>
      <c r="C82" s="28"/>
      <c r="D82" s="118"/>
      <c r="E82" s="72"/>
      <c r="F82" s="113"/>
      <c r="G82" s="113"/>
      <c r="H82" s="113"/>
      <c r="I82" s="313"/>
      <c r="J82" s="142"/>
      <c r="K82" s="213"/>
      <c r="L82" s="72"/>
      <c r="M82" s="27"/>
      <c r="N82" s="118"/>
      <c r="O82" s="72"/>
      <c r="P82" s="72"/>
      <c r="Q82" s="72"/>
      <c r="R82" s="72"/>
      <c r="S82" s="222">
        <f t="shared" si="121"/>
        <v>0</v>
      </c>
      <c r="T82" s="290"/>
      <c r="U82" s="290"/>
      <c r="V82" s="290"/>
      <c r="W82" s="48"/>
      <c r="X82" s="16"/>
      <c r="Y82" s="14">
        <f t="shared" si="197"/>
        <v>0</v>
      </c>
      <c r="Z82" s="16"/>
      <c r="AA82" s="16"/>
      <c r="AB82" s="181"/>
      <c r="AC82" s="260">
        <f t="shared" si="177"/>
        <v>0</v>
      </c>
      <c r="AD82" s="264"/>
      <c r="AE82" s="24"/>
      <c r="AF82" s="258"/>
      <c r="AG82" s="48">
        <f t="shared" si="122"/>
        <v>0</v>
      </c>
      <c r="AH82" s="48">
        <f t="shared" si="123"/>
        <v>0</v>
      </c>
      <c r="AI82" s="102">
        <f t="shared" si="56"/>
        <v>0</v>
      </c>
      <c r="AJ82" s="27">
        <f t="shared" si="274"/>
        <v>0</v>
      </c>
      <c r="AL82" s="28"/>
      <c r="AM82" s="25">
        <f t="shared" si="125"/>
        <v>0</v>
      </c>
      <c r="AN82" s="56">
        <f t="shared" si="110"/>
        <v>0</v>
      </c>
      <c r="AO82" s="251" t="s">
        <v>218</v>
      </c>
      <c r="AP82" s="194">
        <f t="shared" si="126"/>
        <v>0</v>
      </c>
      <c r="AQ82" s="208"/>
      <c r="AR82" s="203">
        <f t="shared" si="127"/>
        <v>0</v>
      </c>
      <c r="AS82" s="189"/>
      <c r="AT82" s="198">
        <f t="shared" si="178"/>
        <v>0</v>
      </c>
      <c r="AU82" s="199">
        <f t="shared" si="128"/>
        <v>0</v>
      </c>
      <c r="AV82" s="222">
        <f t="shared" si="129"/>
        <v>0</v>
      </c>
      <c r="AW82" s="118"/>
      <c r="AX82" s="103">
        <f t="shared" si="179"/>
        <v>0</v>
      </c>
      <c r="AY82" s="192">
        <f t="shared" si="130"/>
        <v>0</v>
      </c>
      <c r="AZ82" s="192"/>
      <c r="BA82" s="192">
        <f t="shared" si="131"/>
        <v>0</v>
      </c>
      <c r="BB82" s="113">
        <f t="shared" si="132"/>
        <v>0</v>
      </c>
      <c r="BC82" s="113">
        <f t="shared" si="133"/>
        <v>0</v>
      </c>
      <c r="BD82" s="270">
        <f t="shared" si="173"/>
        <v>0</v>
      </c>
      <c r="BE82" s="228">
        <f t="shared" si="134"/>
        <v>0</v>
      </c>
      <c r="BF82" s="268">
        <f>CEILING(IF(K82=0,0,O82-0.8),1)</f>
        <v>0</v>
      </c>
      <c r="BG82" s="268">
        <f>CEILING(IF(L82=0,0,P82-0.8),1)</f>
        <v>0</v>
      </c>
      <c r="BH82" s="118"/>
      <c r="BI82" s="72">
        <f t="shared" si="68"/>
        <v>0</v>
      </c>
      <c r="BJ82" s="73"/>
      <c r="BK82" s="230">
        <f t="shared" si="83"/>
        <v>0</v>
      </c>
      <c r="BL82" s="3">
        <f t="shared" si="86"/>
        <v>0</v>
      </c>
      <c r="BM82" s="3">
        <f t="shared" si="87"/>
        <v>0</v>
      </c>
      <c r="BN82" s="10">
        <f t="shared" si="303"/>
        <v>0</v>
      </c>
      <c r="BO82" s="3">
        <f t="shared" si="304"/>
        <v>0</v>
      </c>
      <c r="BP82" s="3">
        <f t="shared" si="305"/>
        <v>0</v>
      </c>
      <c r="BQ82" s="3">
        <f t="shared" si="306"/>
        <v>0</v>
      </c>
      <c r="BR82" s="3">
        <f t="shared" si="307"/>
        <v>0</v>
      </c>
      <c r="BS82" s="3">
        <f t="shared" si="308"/>
        <v>0</v>
      </c>
      <c r="BT82" s="3"/>
      <c r="BU82" s="3">
        <f t="shared" si="292"/>
        <v>0</v>
      </c>
      <c r="BV82" s="3">
        <f t="shared" si="293"/>
        <v>0</v>
      </c>
      <c r="BW82" s="3">
        <f t="shared" si="294"/>
        <v>0</v>
      </c>
      <c r="BX82" s="3">
        <f t="shared" si="295"/>
        <v>0</v>
      </c>
      <c r="BY82" s="3">
        <f t="shared" si="296"/>
        <v>0</v>
      </c>
      <c r="BZ82" s="3">
        <f t="shared" si="297"/>
        <v>0</v>
      </c>
      <c r="CA82" s="3">
        <f t="shared" si="309"/>
        <v>0</v>
      </c>
      <c r="CB82" s="3">
        <f t="shared" si="298"/>
        <v>0</v>
      </c>
      <c r="CC82" s="3">
        <f t="shared" si="299"/>
        <v>0</v>
      </c>
      <c r="CD82" s="3">
        <f t="shared" si="300"/>
        <v>0</v>
      </c>
      <c r="CE82" s="3">
        <f t="shared" si="301"/>
        <v>0</v>
      </c>
      <c r="CF82" s="3">
        <f t="shared" si="302"/>
        <v>0</v>
      </c>
      <c r="CG82" s="3">
        <f t="shared" si="88"/>
        <v>0</v>
      </c>
      <c r="CH82" s="3">
        <f t="shared" si="89"/>
        <v>0</v>
      </c>
      <c r="CI82" s="3"/>
      <c r="CJ82" s="3">
        <f t="shared" si="310"/>
        <v>0</v>
      </c>
      <c r="CK82" s="3">
        <f t="shared" si="311"/>
        <v>12.96</v>
      </c>
      <c r="CL82" s="3">
        <f t="shared" si="90"/>
        <v>0</v>
      </c>
      <c r="CM82" s="3">
        <f t="shared" si="91"/>
        <v>0</v>
      </c>
      <c r="CN82" s="10">
        <f t="shared" si="312"/>
        <v>0</v>
      </c>
      <c r="CO82" s="3">
        <f t="shared" si="313"/>
        <v>0</v>
      </c>
      <c r="CP82" s="3">
        <f t="shared" si="92"/>
        <v>0</v>
      </c>
      <c r="CQ82" s="3">
        <f t="shared" si="93"/>
        <v>1</v>
      </c>
      <c r="CR82" s="3">
        <f t="shared" si="180"/>
        <v>0</v>
      </c>
      <c r="CS82" s="3"/>
      <c r="CT82" s="3">
        <f t="shared" si="314"/>
        <v>0</v>
      </c>
      <c r="CU82" s="3">
        <f t="shared" si="94"/>
        <v>0</v>
      </c>
      <c r="CV82" s="3"/>
      <c r="CW82" s="3"/>
      <c r="CX82" s="3"/>
      <c r="DD82">
        <f t="shared" si="275"/>
        <v>4.5000000000000005E-2</v>
      </c>
      <c r="DE82">
        <f t="shared" si="276"/>
        <v>0</v>
      </c>
      <c r="DF82">
        <f t="shared" si="277"/>
        <v>0</v>
      </c>
      <c r="DG82">
        <f t="shared" si="278"/>
        <v>0</v>
      </c>
      <c r="DH82">
        <f t="shared" si="279"/>
        <v>0</v>
      </c>
      <c r="DI82">
        <f t="shared" si="280"/>
        <v>0</v>
      </c>
      <c r="DJ82">
        <f t="shared" si="281"/>
        <v>0</v>
      </c>
      <c r="DK82">
        <f t="shared" si="282"/>
        <v>0</v>
      </c>
      <c r="DL82">
        <f t="shared" si="283"/>
        <v>0</v>
      </c>
      <c r="DN82">
        <f t="shared" si="284"/>
        <v>0</v>
      </c>
      <c r="DP82">
        <f t="shared" si="285"/>
        <v>0</v>
      </c>
      <c r="DQ82">
        <f t="shared" si="286"/>
        <v>0</v>
      </c>
      <c r="DR82">
        <f t="shared" si="287"/>
        <v>0</v>
      </c>
      <c r="DU82">
        <f t="shared" si="288"/>
        <v>0</v>
      </c>
    </row>
    <row r="83" spans="1:125" ht="17.25" x14ac:dyDescent="0.3">
      <c r="A83" s="72">
        <f t="shared" si="107"/>
        <v>0</v>
      </c>
      <c r="B83" s="113"/>
      <c r="C83" s="28"/>
      <c r="D83" s="118"/>
      <c r="E83" s="72"/>
      <c r="F83" s="113"/>
      <c r="G83" s="113"/>
      <c r="H83" s="113"/>
      <c r="I83" s="313"/>
      <c r="J83" s="142"/>
      <c r="K83" s="213"/>
      <c r="L83" s="72"/>
      <c r="M83" s="27"/>
      <c r="N83" s="118"/>
      <c r="O83" s="72"/>
      <c r="P83" s="72"/>
      <c r="Q83" s="72"/>
      <c r="R83" s="72"/>
      <c r="S83" s="222"/>
      <c r="T83" s="290"/>
      <c r="U83" s="290"/>
      <c r="V83" s="290"/>
      <c r="W83" s="48"/>
      <c r="X83" s="16"/>
      <c r="Y83" s="14"/>
      <c r="Z83" s="16"/>
      <c r="AA83" s="16"/>
      <c r="AB83" s="181"/>
      <c r="AC83" s="260"/>
      <c r="AD83" s="264"/>
      <c r="AE83" s="24"/>
      <c r="AF83" s="258"/>
      <c r="AG83" s="48"/>
      <c r="AH83" s="48"/>
      <c r="AI83" s="102"/>
      <c r="AJ83" s="27"/>
      <c r="AL83" s="28"/>
      <c r="AM83" s="25"/>
      <c r="AN83" s="56"/>
      <c r="AO83" s="251"/>
      <c r="AP83" s="194"/>
      <c r="AQ83" s="208"/>
      <c r="AR83" s="203"/>
      <c r="AS83" s="189"/>
      <c r="AT83" s="198"/>
      <c r="AU83" s="199"/>
      <c r="AV83" s="222"/>
      <c r="AW83" s="118"/>
      <c r="AX83" s="103"/>
      <c r="AY83" s="192"/>
      <c r="AZ83" s="192"/>
      <c r="BA83" s="192"/>
      <c r="BB83" s="113"/>
      <c r="BC83" s="113"/>
      <c r="BD83" s="270"/>
      <c r="BE83" s="228"/>
      <c r="BF83" s="28"/>
      <c r="BG83" s="28"/>
      <c r="BH83" s="118"/>
      <c r="BI83" s="72"/>
      <c r="BJ83" s="73"/>
      <c r="BK83" s="230"/>
      <c r="BL83" s="3">
        <f t="shared" si="86"/>
        <v>0</v>
      </c>
      <c r="BM83" s="3">
        <f t="shared" si="87"/>
        <v>0</v>
      </c>
      <c r="BN83" s="10">
        <f t="shared" si="303"/>
        <v>0</v>
      </c>
      <c r="BO83" s="3">
        <f t="shared" si="304"/>
        <v>0</v>
      </c>
      <c r="BP83" s="3">
        <f t="shared" si="305"/>
        <v>0</v>
      </c>
      <c r="BQ83" s="3">
        <f t="shared" si="306"/>
        <v>0</v>
      </c>
      <c r="BR83" s="3">
        <f t="shared" si="307"/>
        <v>0</v>
      </c>
      <c r="BS83" s="3">
        <f t="shared" si="308"/>
        <v>0</v>
      </c>
      <c r="BT83" s="3"/>
      <c r="BU83" s="3">
        <f t="shared" si="292"/>
        <v>0</v>
      </c>
      <c r="BV83" s="3">
        <f t="shared" si="293"/>
        <v>0</v>
      </c>
      <c r="BW83" s="3">
        <f t="shared" si="294"/>
        <v>0</v>
      </c>
      <c r="BX83" s="3">
        <f t="shared" si="295"/>
        <v>0</v>
      </c>
      <c r="BY83" s="3">
        <f t="shared" si="296"/>
        <v>0</v>
      </c>
      <c r="BZ83" s="3">
        <f t="shared" si="297"/>
        <v>0</v>
      </c>
      <c r="CA83" s="3">
        <f t="shared" si="309"/>
        <v>0</v>
      </c>
      <c r="CB83" s="3">
        <f t="shared" si="298"/>
        <v>0</v>
      </c>
      <c r="CC83" s="3">
        <f t="shared" si="299"/>
        <v>0</v>
      </c>
      <c r="CD83" s="3">
        <f t="shared" si="300"/>
        <v>0</v>
      </c>
      <c r="CE83" s="3">
        <f t="shared" si="301"/>
        <v>0</v>
      </c>
      <c r="CF83" s="3">
        <f t="shared" si="302"/>
        <v>0</v>
      </c>
      <c r="CG83" s="3">
        <f t="shared" si="88"/>
        <v>0</v>
      </c>
      <c r="CH83" s="3">
        <f t="shared" si="89"/>
        <v>0</v>
      </c>
      <c r="CI83" s="3"/>
      <c r="CJ83" s="3">
        <f t="shared" si="310"/>
        <v>0</v>
      </c>
      <c r="CK83" s="3">
        <f t="shared" si="311"/>
        <v>12.96</v>
      </c>
      <c r="CL83" s="3">
        <f t="shared" si="90"/>
        <v>0</v>
      </c>
      <c r="CM83" s="3">
        <f t="shared" si="91"/>
        <v>0</v>
      </c>
      <c r="CN83" s="10">
        <f t="shared" si="312"/>
        <v>0</v>
      </c>
      <c r="CO83" s="3">
        <f t="shared" si="313"/>
        <v>0</v>
      </c>
      <c r="CP83" s="3">
        <f t="shared" si="92"/>
        <v>0</v>
      </c>
      <c r="CQ83" s="3">
        <f t="shared" si="93"/>
        <v>1</v>
      </c>
      <c r="CR83" s="3">
        <f t="shared" si="180"/>
        <v>0</v>
      </c>
      <c r="CS83" s="3"/>
      <c r="CT83" s="3">
        <f t="shared" si="314"/>
        <v>0</v>
      </c>
      <c r="CU83" s="3">
        <f t="shared" si="94"/>
        <v>0</v>
      </c>
      <c r="CV83" s="3"/>
      <c r="CW83" s="3"/>
      <c r="CX83" s="3"/>
      <c r="DD83">
        <f t="shared" si="275"/>
        <v>4.5000000000000005E-2</v>
      </c>
      <c r="DE83">
        <f t="shared" si="276"/>
        <v>0</v>
      </c>
      <c r="DF83">
        <f t="shared" si="277"/>
        <v>0</v>
      </c>
      <c r="DG83">
        <f t="shared" si="278"/>
        <v>0</v>
      </c>
      <c r="DH83">
        <f t="shared" si="279"/>
        <v>0</v>
      </c>
      <c r="DI83">
        <f t="shared" si="280"/>
        <v>0</v>
      </c>
      <c r="DJ83">
        <f t="shared" si="281"/>
        <v>0</v>
      </c>
      <c r="DK83">
        <f t="shared" si="282"/>
        <v>0</v>
      </c>
      <c r="DL83">
        <f t="shared" si="283"/>
        <v>0</v>
      </c>
      <c r="DN83">
        <f t="shared" si="284"/>
        <v>0</v>
      </c>
      <c r="DP83">
        <f t="shared" si="285"/>
        <v>0</v>
      </c>
      <c r="DQ83">
        <f t="shared" si="286"/>
        <v>0</v>
      </c>
      <c r="DR83">
        <f t="shared" si="287"/>
        <v>0</v>
      </c>
      <c r="DU83">
        <f t="shared" si="288"/>
        <v>0</v>
      </c>
    </row>
    <row r="84" spans="1:125" ht="17.25" x14ac:dyDescent="0.3">
      <c r="A84" s="72">
        <f t="shared" si="107"/>
        <v>0</v>
      </c>
      <c r="B84" s="113"/>
      <c r="C84" s="28"/>
      <c r="D84" s="118"/>
      <c r="E84" s="72"/>
      <c r="F84" s="113"/>
      <c r="G84" s="113"/>
      <c r="H84" s="113"/>
      <c r="I84" s="313"/>
      <c r="J84" s="142"/>
      <c r="K84" s="213"/>
      <c r="L84" s="72"/>
      <c r="M84" s="27"/>
      <c r="N84" s="118"/>
      <c r="O84" s="72"/>
      <c r="P84" s="72"/>
      <c r="Q84" s="72"/>
      <c r="R84" s="72"/>
      <c r="S84" s="222"/>
      <c r="T84" s="290"/>
      <c r="U84" s="290"/>
      <c r="V84" s="290"/>
      <c r="W84" s="48"/>
      <c r="X84" s="16"/>
      <c r="Y84" s="14"/>
      <c r="Z84" s="16"/>
      <c r="AA84" s="16"/>
      <c r="AB84" s="181"/>
      <c r="AC84" s="260"/>
      <c r="AD84" s="264"/>
      <c r="AE84" s="24"/>
      <c r="AF84" s="258"/>
      <c r="AG84" s="48"/>
      <c r="AH84" s="48"/>
      <c r="AI84" s="102"/>
      <c r="AJ84" s="27"/>
      <c r="AL84" s="28"/>
      <c r="AM84" s="25"/>
      <c r="AN84" s="56"/>
      <c r="AO84" s="251"/>
      <c r="AP84" s="194"/>
      <c r="AQ84" s="208"/>
      <c r="AR84" s="203"/>
      <c r="AS84" s="189"/>
      <c r="AT84" s="198"/>
      <c r="AU84" s="199"/>
      <c r="AV84" s="222"/>
      <c r="AW84" s="118"/>
      <c r="AX84" s="103"/>
      <c r="AY84" s="192"/>
      <c r="AZ84" s="192"/>
      <c r="BA84" s="192"/>
      <c r="BB84" s="113"/>
      <c r="BC84" s="113"/>
      <c r="BD84" s="270"/>
      <c r="BE84" s="228"/>
      <c r="BF84" s="28"/>
      <c r="BG84" s="28"/>
      <c r="BH84" s="118"/>
      <c r="BI84" s="72"/>
      <c r="BJ84" s="73"/>
      <c r="BK84" s="230"/>
      <c r="BL84" s="3">
        <f t="shared" si="86"/>
        <v>0</v>
      </c>
      <c r="BM84" s="3">
        <f t="shared" si="87"/>
        <v>0</v>
      </c>
      <c r="BN84" s="10">
        <f t="shared" si="303"/>
        <v>0</v>
      </c>
      <c r="BO84" s="3">
        <f t="shared" si="304"/>
        <v>0</v>
      </c>
      <c r="BP84" s="3">
        <f t="shared" si="305"/>
        <v>0</v>
      </c>
      <c r="BQ84" s="3">
        <f t="shared" si="306"/>
        <v>0</v>
      </c>
      <c r="BR84" s="3">
        <f t="shared" si="307"/>
        <v>0</v>
      </c>
      <c r="BS84" s="3">
        <f t="shared" si="308"/>
        <v>0</v>
      </c>
      <c r="BT84" s="3"/>
      <c r="BU84" s="3">
        <f t="shared" si="292"/>
        <v>0</v>
      </c>
      <c r="BV84" s="3">
        <f t="shared" si="293"/>
        <v>0</v>
      </c>
      <c r="BW84" s="3">
        <f t="shared" si="294"/>
        <v>0</v>
      </c>
      <c r="BX84" s="3">
        <f t="shared" si="295"/>
        <v>0</v>
      </c>
      <c r="BY84" s="3">
        <f t="shared" si="296"/>
        <v>0</v>
      </c>
      <c r="BZ84" s="3">
        <f t="shared" si="297"/>
        <v>0</v>
      </c>
      <c r="CA84" s="3">
        <f t="shared" si="309"/>
        <v>0</v>
      </c>
      <c r="CB84" s="3">
        <f t="shared" si="298"/>
        <v>0</v>
      </c>
      <c r="CC84" s="3">
        <f t="shared" si="299"/>
        <v>0</v>
      </c>
      <c r="CD84" s="3">
        <f t="shared" si="300"/>
        <v>0</v>
      </c>
      <c r="CE84" s="3">
        <f t="shared" si="301"/>
        <v>0</v>
      </c>
      <c r="CF84" s="3">
        <f t="shared" si="302"/>
        <v>0</v>
      </c>
      <c r="CG84" s="3">
        <f t="shared" si="88"/>
        <v>0</v>
      </c>
      <c r="CH84" s="3">
        <f t="shared" si="89"/>
        <v>0</v>
      </c>
      <c r="CI84" s="3"/>
      <c r="CJ84" s="3">
        <f t="shared" si="310"/>
        <v>0</v>
      </c>
      <c r="CK84" s="3">
        <f t="shared" si="311"/>
        <v>12.96</v>
      </c>
      <c r="CL84" s="3">
        <f t="shared" si="90"/>
        <v>0</v>
      </c>
      <c r="CM84" s="3">
        <f t="shared" si="91"/>
        <v>0</v>
      </c>
      <c r="CN84" s="10">
        <f t="shared" si="312"/>
        <v>0</v>
      </c>
      <c r="CO84" s="3">
        <f t="shared" si="313"/>
        <v>0</v>
      </c>
      <c r="CP84" s="3">
        <f t="shared" si="92"/>
        <v>0</v>
      </c>
      <c r="CQ84" s="3">
        <f t="shared" si="93"/>
        <v>1</v>
      </c>
      <c r="CR84" s="3">
        <f t="shared" si="180"/>
        <v>0</v>
      </c>
      <c r="CS84" s="3"/>
      <c r="CT84" s="3">
        <f t="shared" si="314"/>
        <v>0</v>
      </c>
      <c r="CU84" s="3">
        <f t="shared" si="94"/>
        <v>0</v>
      </c>
      <c r="CV84" s="3"/>
      <c r="CW84" s="3"/>
      <c r="CX84" s="3"/>
      <c r="DD84">
        <f t="shared" si="275"/>
        <v>4.5000000000000005E-2</v>
      </c>
      <c r="DE84">
        <f t="shared" si="276"/>
        <v>0</v>
      </c>
      <c r="DF84">
        <f t="shared" si="277"/>
        <v>0</v>
      </c>
      <c r="DG84">
        <f t="shared" si="278"/>
        <v>0</v>
      </c>
      <c r="DH84">
        <f t="shared" si="279"/>
        <v>0</v>
      </c>
      <c r="DI84">
        <f t="shared" si="280"/>
        <v>0</v>
      </c>
      <c r="DJ84">
        <f t="shared" si="281"/>
        <v>0</v>
      </c>
      <c r="DK84">
        <f t="shared" si="282"/>
        <v>0</v>
      </c>
      <c r="DL84">
        <f t="shared" si="283"/>
        <v>0</v>
      </c>
      <c r="DN84">
        <f t="shared" si="284"/>
        <v>0</v>
      </c>
      <c r="DP84">
        <f t="shared" si="285"/>
        <v>0</v>
      </c>
      <c r="DQ84">
        <f t="shared" si="286"/>
        <v>0</v>
      </c>
      <c r="DR84">
        <f t="shared" si="287"/>
        <v>0</v>
      </c>
      <c r="DU84">
        <f t="shared" si="288"/>
        <v>0</v>
      </c>
    </row>
    <row r="85" spans="1:125" ht="17.25" x14ac:dyDescent="0.3">
      <c r="A85" s="72">
        <f t="shared" si="107"/>
        <v>0</v>
      </c>
      <c r="B85" s="113"/>
      <c r="C85" s="28"/>
      <c r="D85" s="118"/>
      <c r="E85" s="72"/>
      <c r="F85" s="113"/>
      <c r="G85" s="113"/>
      <c r="H85" s="113"/>
      <c r="I85" s="313"/>
      <c r="J85" s="142"/>
      <c r="K85" s="213"/>
      <c r="L85" s="72"/>
      <c r="M85" s="27"/>
      <c r="N85" s="118"/>
      <c r="O85" s="72"/>
      <c r="P85" s="72"/>
      <c r="Q85" s="72"/>
      <c r="R85" s="72"/>
      <c r="S85" s="222"/>
      <c r="T85" s="290"/>
      <c r="U85" s="290"/>
      <c r="V85" s="290"/>
      <c r="W85" s="48"/>
      <c r="X85" s="16"/>
      <c r="Y85" s="14"/>
      <c r="Z85" s="16"/>
      <c r="AA85" s="16"/>
      <c r="AB85" s="181"/>
      <c r="AC85" s="260"/>
      <c r="AD85" s="264"/>
      <c r="AE85" s="24"/>
      <c r="AF85" s="258"/>
      <c r="AG85" s="48"/>
      <c r="AH85" s="48"/>
      <c r="AI85" s="102"/>
      <c r="AJ85" s="27"/>
      <c r="AL85" s="28"/>
      <c r="AM85" s="25"/>
      <c r="AN85" s="56"/>
      <c r="AO85" s="251"/>
      <c r="AP85" s="194"/>
      <c r="AQ85" s="208"/>
      <c r="AR85" s="203"/>
      <c r="AS85" s="189"/>
      <c r="AT85" s="198"/>
      <c r="AU85" s="199"/>
      <c r="AV85" s="222"/>
      <c r="AW85" s="118"/>
      <c r="AX85" s="103"/>
      <c r="AY85" s="192"/>
      <c r="AZ85" s="192"/>
      <c r="BA85" s="192"/>
      <c r="BB85" s="113"/>
      <c r="BC85" s="113"/>
      <c r="BD85" s="270"/>
      <c r="BE85" s="228"/>
      <c r="BF85" s="28"/>
      <c r="BG85" s="28"/>
      <c r="BH85" s="118"/>
      <c r="BI85" s="72"/>
      <c r="BJ85" s="73"/>
      <c r="BK85" s="230"/>
      <c r="BL85" s="3">
        <f t="shared" si="86"/>
        <v>0</v>
      </c>
      <c r="BM85" s="3">
        <f t="shared" si="87"/>
        <v>0</v>
      </c>
      <c r="BN85" s="10">
        <f t="shared" si="303"/>
        <v>0</v>
      </c>
      <c r="BO85" s="3">
        <f t="shared" si="304"/>
        <v>0</v>
      </c>
      <c r="BP85" s="3">
        <f t="shared" si="305"/>
        <v>0</v>
      </c>
      <c r="BQ85" s="3">
        <f t="shared" si="306"/>
        <v>0</v>
      </c>
      <c r="BR85" s="3">
        <f t="shared" si="307"/>
        <v>0</v>
      </c>
      <c r="BS85" s="3">
        <f t="shared" si="308"/>
        <v>0</v>
      </c>
      <c r="BT85" s="3"/>
      <c r="BU85" s="3">
        <f t="shared" si="292"/>
        <v>0</v>
      </c>
      <c r="BV85" s="3">
        <f t="shared" si="293"/>
        <v>0</v>
      </c>
      <c r="BW85" s="3">
        <f t="shared" si="294"/>
        <v>0</v>
      </c>
      <c r="BX85" s="3">
        <f t="shared" si="295"/>
        <v>0</v>
      </c>
      <c r="BY85" s="3">
        <f t="shared" si="296"/>
        <v>0</v>
      </c>
      <c r="BZ85" s="3">
        <f t="shared" si="297"/>
        <v>0</v>
      </c>
      <c r="CA85" s="3">
        <f t="shared" si="309"/>
        <v>0</v>
      </c>
      <c r="CB85" s="3">
        <f t="shared" si="298"/>
        <v>0</v>
      </c>
      <c r="CC85" s="3">
        <f t="shared" si="299"/>
        <v>0</v>
      </c>
      <c r="CD85" s="3">
        <f t="shared" si="300"/>
        <v>0</v>
      </c>
      <c r="CE85" s="3">
        <f t="shared" si="301"/>
        <v>0</v>
      </c>
      <c r="CF85" s="3">
        <f t="shared" si="302"/>
        <v>0</v>
      </c>
      <c r="CG85" s="3">
        <f t="shared" si="88"/>
        <v>0</v>
      </c>
      <c r="CH85" s="3">
        <f t="shared" si="89"/>
        <v>0</v>
      </c>
      <c r="CI85" s="3"/>
      <c r="CJ85" s="3">
        <f t="shared" si="310"/>
        <v>0</v>
      </c>
      <c r="CK85" s="3">
        <f t="shared" si="311"/>
        <v>12.96</v>
      </c>
      <c r="CL85" s="3">
        <f t="shared" si="90"/>
        <v>0</v>
      </c>
      <c r="CM85" s="3">
        <f t="shared" si="91"/>
        <v>0</v>
      </c>
      <c r="CN85" s="10">
        <f t="shared" si="312"/>
        <v>0</v>
      </c>
      <c r="CO85" s="3">
        <f t="shared" si="313"/>
        <v>0</v>
      </c>
      <c r="CP85" s="3">
        <f t="shared" si="92"/>
        <v>0</v>
      </c>
      <c r="CQ85" s="3">
        <f t="shared" si="93"/>
        <v>1</v>
      </c>
      <c r="CR85" s="3">
        <f t="shared" ref="CR85:CR102" si="315">IF(K85=1,0.5,0)</f>
        <v>0</v>
      </c>
      <c r="CS85" s="3"/>
      <c r="CT85" s="3">
        <f t="shared" si="314"/>
        <v>0</v>
      </c>
      <c r="CU85" s="3">
        <f t="shared" si="94"/>
        <v>0</v>
      </c>
      <c r="CV85" s="3"/>
      <c r="CW85" s="3"/>
      <c r="CX85" s="3"/>
      <c r="DD85">
        <f t="shared" si="275"/>
        <v>4.5000000000000005E-2</v>
      </c>
      <c r="DE85">
        <f t="shared" si="276"/>
        <v>0</v>
      </c>
      <c r="DF85">
        <f t="shared" si="277"/>
        <v>0</v>
      </c>
      <c r="DG85">
        <f t="shared" si="278"/>
        <v>0</v>
      </c>
      <c r="DH85">
        <f t="shared" si="279"/>
        <v>0</v>
      </c>
      <c r="DI85">
        <f t="shared" si="280"/>
        <v>0</v>
      </c>
      <c r="DJ85">
        <f t="shared" si="281"/>
        <v>0</v>
      </c>
      <c r="DK85">
        <f t="shared" si="282"/>
        <v>0</v>
      </c>
      <c r="DL85">
        <f t="shared" si="283"/>
        <v>0</v>
      </c>
      <c r="DN85">
        <f t="shared" si="284"/>
        <v>0</v>
      </c>
      <c r="DP85">
        <f t="shared" si="285"/>
        <v>0</v>
      </c>
      <c r="DQ85">
        <f t="shared" si="286"/>
        <v>0</v>
      </c>
      <c r="DR85">
        <f t="shared" si="287"/>
        <v>0</v>
      </c>
      <c r="DU85">
        <f t="shared" si="288"/>
        <v>0</v>
      </c>
    </row>
    <row r="86" spans="1:125" ht="17.25" x14ac:dyDescent="0.3">
      <c r="A86" s="72">
        <f t="shared" si="107"/>
        <v>0</v>
      </c>
      <c r="B86" s="113"/>
      <c r="C86" s="28"/>
      <c r="D86" s="118"/>
      <c r="E86" s="72"/>
      <c r="F86" s="113"/>
      <c r="G86" s="113"/>
      <c r="H86" s="113"/>
      <c r="I86" s="313"/>
      <c r="J86" s="142"/>
      <c r="K86" s="213"/>
      <c r="L86" s="72"/>
      <c r="M86" s="27"/>
      <c r="N86" s="118"/>
      <c r="O86" s="72"/>
      <c r="P86" s="72"/>
      <c r="Q86" s="72"/>
      <c r="R86" s="72"/>
      <c r="S86" s="222"/>
      <c r="T86" s="290"/>
      <c r="U86" s="290"/>
      <c r="V86" s="290"/>
      <c r="W86" s="48"/>
      <c r="X86" s="16"/>
      <c r="Y86" s="14"/>
      <c r="Z86" s="16"/>
      <c r="AA86" s="16"/>
      <c r="AB86" s="181"/>
      <c r="AC86" s="260"/>
      <c r="AD86" s="264"/>
      <c r="AE86" s="24"/>
      <c r="AF86" s="258"/>
      <c r="AG86" s="48"/>
      <c r="AH86" s="48"/>
      <c r="AI86" s="102"/>
      <c r="AJ86" s="27"/>
      <c r="AL86" s="28"/>
      <c r="AM86" s="25"/>
      <c r="AN86" s="56"/>
      <c r="AO86" s="251"/>
      <c r="AP86" s="194"/>
      <c r="AQ86" s="208"/>
      <c r="AR86" s="203"/>
      <c r="AS86" s="189"/>
      <c r="AT86" s="198"/>
      <c r="AU86" s="199"/>
      <c r="AV86" s="222"/>
      <c r="AW86" s="118"/>
      <c r="AX86" s="103"/>
      <c r="AY86" s="192"/>
      <c r="AZ86" s="192"/>
      <c r="BA86" s="192"/>
      <c r="BB86" s="113"/>
      <c r="BC86" s="113"/>
      <c r="BD86" s="270"/>
      <c r="BE86" s="228"/>
      <c r="BF86" s="28"/>
      <c r="BG86" s="28"/>
      <c r="BH86" s="118"/>
      <c r="BI86" s="72"/>
      <c r="BJ86" s="73"/>
      <c r="BK86" s="230"/>
      <c r="BL86" s="3">
        <f t="shared" si="86"/>
        <v>0</v>
      </c>
      <c r="BM86" s="3">
        <f t="shared" si="87"/>
        <v>0</v>
      </c>
      <c r="BN86" s="10">
        <f t="shared" si="303"/>
        <v>0</v>
      </c>
      <c r="BO86" s="3">
        <f t="shared" si="304"/>
        <v>0</v>
      </c>
      <c r="BP86" s="3">
        <f t="shared" si="305"/>
        <v>0</v>
      </c>
      <c r="BQ86" s="3">
        <f t="shared" si="306"/>
        <v>0</v>
      </c>
      <c r="BR86" s="3">
        <f t="shared" si="307"/>
        <v>0</v>
      </c>
      <c r="BS86" s="3">
        <f t="shared" si="308"/>
        <v>0</v>
      </c>
      <c r="BT86" s="3"/>
      <c r="BU86" s="3">
        <f t="shared" si="292"/>
        <v>0</v>
      </c>
      <c r="BV86" s="3">
        <f t="shared" si="293"/>
        <v>0</v>
      </c>
      <c r="BW86" s="3">
        <f t="shared" si="294"/>
        <v>0</v>
      </c>
      <c r="BX86" s="3">
        <f t="shared" si="295"/>
        <v>0</v>
      </c>
      <c r="BY86" s="3">
        <f t="shared" si="296"/>
        <v>0</v>
      </c>
      <c r="BZ86" s="3">
        <f t="shared" si="297"/>
        <v>0</v>
      </c>
      <c r="CA86" s="3">
        <f t="shared" si="309"/>
        <v>0</v>
      </c>
      <c r="CB86" s="3">
        <f t="shared" si="298"/>
        <v>0</v>
      </c>
      <c r="CC86" s="3">
        <f t="shared" si="299"/>
        <v>0</v>
      </c>
      <c r="CD86" s="3">
        <f t="shared" si="300"/>
        <v>0</v>
      </c>
      <c r="CE86" s="3">
        <f t="shared" si="301"/>
        <v>0</v>
      </c>
      <c r="CF86" s="3">
        <f t="shared" si="302"/>
        <v>0</v>
      </c>
      <c r="CG86" s="3">
        <f t="shared" si="88"/>
        <v>0</v>
      </c>
      <c r="CH86" s="3">
        <f t="shared" si="89"/>
        <v>0</v>
      </c>
      <c r="CI86" s="3"/>
      <c r="CJ86" s="3">
        <f t="shared" si="310"/>
        <v>0</v>
      </c>
      <c r="CK86" s="3">
        <f t="shared" si="311"/>
        <v>12.96</v>
      </c>
      <c r="CL86" s="3">
        <f t="shared" si="90"/>
        <v>0</v>
      </c>
      <c r="CM86" s="3">
        <f t="shared" si="91"/>
        <v>0</v>
      </c>
      <c r="CN86" s="10">
        <f t="shared" si="312"/>
        <v>0</v>
      </c>
      <c r="CO86" s="3">
        <f t="shared" si="313"/>
        <v>0</v>
      </c>
      <c r="CP86" s="3">
        <f t="shared" si="92"/>
        <v>0</v>
      </c>
      <c r="CQ86" s="3">
        <f t="shared" si="93"/>
        <v>1</v>
      </c>
      <c r="CR86" s="3">
        <f t="shared" si="315"/>
        <v>0</v>
      </c>
      <c r="CS86" s="3"/>
      <c r="CT86" s="3">
        <f t="shared" si="314"/>
        <v>0</v>
      </c>
      <c r="CU86" s="3">
        <f t="shared" si="94"/>
        <v>0</v>
      </c>
      <c r="CV86" s="3"/>
      <c r="CW86" s="3"/>
      <c r="CX86" s="3"/>
      <c r="DD86">
        <f t="shared" si="275"/>
        <v>4.5000000000000005E-2</v>
      </c>
      <c r="DE86">
        <f t="shared" si="276"/>
        <v>0</v>
      </c>
      <c r="DF86">
        <f t="shared" si="277"/>
        <v>0</v>
      </c>
      <c r="DG86">
        <f t="shared" si="278"/>
        <v>0</v>
      </c>
      <c r="DH86">
        <f t="shared" si="279"/>
        <v>0</v>
      </c>
      <c r="DI86">
        <f t="shared" si="280"/>
        <v>0</v>
      </c>
      <c r="DJ86">
        <f t="shared" si="281"/>
        <v>0</v>
      </c>
      <c r="DK86">
        <f t="shared" si="282"/>
        <v>0</v>
      </c>
      <c r="DL86">
        <f t="shared" si="283"/>
        <v>0</v>
      </c>
      <c r="DN86">
        <f t="shared" si="284"/>
        <v>0</v>
      </c>
      <c r="DP86">
        <f t="shared" si="285"/>
        <v>0</v>
      </c>
      <c r="DQ86">
        <f t="shared" si="286"/>
        <v>0</v>
      </c>
      <c r="DR86">
        <f t="shared" si="287"/>
        <v>0</v>
      </c>
      <c r="DU86">
        <f t="shared" si="288"/>
        <v>0</v>
      </c>
    </row>
    <row r="87" spans="1:125" ht="17.25" x14ac:dyDescent="0.3">
      <c r="A87" s="72">
        <f t="shared" si="107"/>
        <v>0</v>
      </c>
      <c r="B87" s="113"/>
      <c r="C87" s="28"/>
      <c r="D87" s="118"/>
      <c r="E87" s="72"/>
      <c r="F87" s="113"/>
      <c r="G87" s="113"/>
      <c r="H87" s="113"/>
      <c r="I87" s="313"/>
      <c r="J87" s="142"/>
      <c r="K87" s="213"/>
      <c r="L87" s="72"/>
      <c r="M87" s="27"/>
      <c r="N87" s="118"/>
      <c r="O87" s="72"/>
      <c r="P87" s="72"/>
      <c r="Q87" s="72"/>
      <c r="R87" s="72"/>
      <c r="S87" s="222"/>
      <c r="T87" s="290"/>
      <c r="U87" s="290"/>
      <c r="V87" s="290"/>
      <c r="W87" s="48"/>
      <c r="X87" s="16"/>
      <c r="Y87" s="14"/>
      <c r="Z87" s="16"/>
      <c r="AA87" s="16"/>
      <c r="AB87" s="181"/>
      <c r="AC87" s="260"/>
      <c r="AD87" s="264"/>
      <c r="AE87" s="24"/>
      <c r="AF87" s="258"/>
      <c r="AG87" s="48"/>
      <c r="AH87" s="48"/>
      <c r="AI87" s="102"/>
      <c r="AJ87" s="27"/>
      <c r="AL87" s="28"/>
      <c r="AM87" s="25"/>
      <c r="AN87" s="56"/>
      <c r="AO87" s="251"/>
      <c r="AP87" s="194"/>
      <c r="AQ87" s="208"/>
      <c r="AR87" s="203"/>
      <c r="AS87" s="189"/>
      <c r="AT87" s="198"/>
      <c r="AU87" s="199"/>
      <c r="AV87" s="222"/>
      <c r="AW87" s="118"/>
      <c r="AX87" s="103"/>
      <c r="AY87" s="192"/>
      <c r="AZ87" s="192"/>
      <c r="BA87" s="192"/>
      <c r="BB87" s="113"/>
      <c r="BC87" s="113"/>
      <c r="BD87" s="270"/>
      <c r="BE87" s="228"/>
      <c r="BF87" s="28"/>
      <c r="BG87" s="28"/>
      <c r="BH87" s="118"/>
      <c r="BI87" s="72"/>
      <c r="BJ87" s="73"/>
      <c r="BK87" s="230"/>
      <c r="BL87" s="3">
        <f t="shared" si="86"/>
        <v>0</v>
      </c>
      <c r="BM87" s="3">
        <f t="shared" si="87"/>
        <v>0</v>
      </c>
      <c r="BN87" s="10">
        <f t="shared" si="303"/>
        <v>0</v>
      </c>
      <c r="BO87" s="3">
        <f t="shared" si="304"/>
        <v>0</v>
      </c>
      <c r="BP87" s="3">
        <f t="shared" si="305"/>
        <v>0</v>
      </c>
      <c r="BQ87" s="3">
        <f t="shared" si="306"/>
        <v>0</v>
      </c>
      <c r="BR87" s="3">
        <f t="shared" si="307"/>
        <v>0</v>
      </c>
      <c r="BS87" s="3">
        <f t="shared" si="308"/>
        <v>0</v>
      </c>
      <c r="BT87" s="3"/>
      <c r="BU87" s="3">
        <f t="shared" si="292"/>
        <v>0</v>
      </c>
      <c r="BV87" s="3">
        <f t="shared" si="293"/>
        <v>0</v>
      </c>
      <c r="BW87" s="3">
        <f t="shared" si="294"/>
        <v>0</v>
      </c>
      <c r="BX87" s="3">
        <f t="shared" si="295"/>
        <v>0</v>
      </c>
      <c r="BY87" s="3">
        <f t="shared" si="296"/>
        <v>0</v>
      </c>
      <c r="BZ87" s="3">
        <f t="shared" si="297"/>
        <v>0</v>
      </c>
      <c r="CA87" s="3">
        <f t="shared" si="309"/>
        <v>0</v>
      </c>
      <c r="CB87" s="3">
        <f t="shared" si="298"/>
        <v>0</v>
      </c>
      <c r="CC87" s="3">
        <f t="shared" si="299"/>
        <v>0</v>
      </c>
      <c r="CD87" s="3">
        <f t="shared" si="300"/>
        <v>0</v>
      </c>
      <c r="CE87" s="3">
        <f t="shared" si="301"/>
        <v>0</v>
      </c>
      <c r="CF87" s="3">
        <f t="shared" si="302"/>
        <v>0</v>
      </c>
      <c r="CG87" s="3">
        <f t="shared" si="88"/>
        <v>0</v>
      </c>
      <c r="CH87" s="3">
        <f t="shared" si="89"/>
        <v>0</v>
      </c>
      <c r="CI87" s="3"/>
      <c r="CJ87" s="3">
        <f t="shared" si="310"/>
        <v>0</v>
      </c>
      <c r="CK87" s="3">
        <f t="shared" si="311"/>
        <v>12.96</v>
      </c>
      <c r="CL87" s="3">
        <f t="shared" si="90"/>
        <v>0</v>
      </c>
      <c r="CM87" s="3">
        <f t="shared" si="91"/>
        <v>0</v>
      </c>
      <c r="CN87" s="10">
        <f t="shared" si="312"/>
        <v>0</v>
      </c>
      <c r="CO87" s="3">
        <f t="shared" si="313"/>
        <v>0</v>
      </c>
      <c r="CP87" s="3">
        <f t="shared" si="92"/>
        <v>0</v>
      </c>
      <c r="CQ87" s="3">
        <f t="shared" si="93"/>
        <v>1</v>
      </c>
      <c r="CR87" s="3">
        <f t="shared" si="315"/>
        <v>0</v>
      </c>
      <c r="CS87" s="3"/>
      <c r="CT87" s="3">
        <f t="shared" si="314"/>
        <v>0</v>
      </c>
      <c r="CU87" s="3">
        <f t="shared" si="94"/>
        <v>0</v>
      </c>
      <c r="CV87" s="3"/>
      <c r="CW87" s="3"/>
      <c r="CX87" s="3"/>
      <c r="DD87">
        <f t="shared" si="275"/>
        <v>4.5000000000000005E-2</v>
      </c>
      <c r="DE87">
        <f t="shared" si="276"/>
        <v>0</v>
      </c>
      <c r="DF87">
        <f t="shared" si="277"/>
        <v>0</v>
      </c>
      <c r="DG87">
        <f t="shared" si="278"/>
        <v>0</v>
      </c>
      <c r="DH87">
        <f t="shared" si="279"/>
        <v>0</v>
      </c>
      <c r="DI87">
        <f t="shared" si="280"/>
        <v>0</v>
      </c>
      <c r="DJ87">
        <f t="shared" si="281"/>
        <v>0</v>
      </c>
      <c r="DK87">
        <f t="shared" si="282"/>
        <v>0</v>
      </c>
      <c r="DL87">
        <f t="shared" si="283"/>
        <v>0</v>
      </c>
      <c r="DN87">
        <f t="shared" si="284"/>
        <v>0</v>
      </c>
      <c r="DP87">
        <f t="shared" si="285"/>
        <v>0</v>
      </c>
      <c r="DQ87">
        <f t="shared" si="286"/>
        <v>0</v>
      </c>
      <c r="DR87">
        <f t="shared" si="287"/>
        <v>0</v>
      </c>
      <c r="DU87">
        <f t="shared" si="288"/>
        <v>0</v>
      </c>
    </row>
    <row r="88" spans="1:125" ht="17.25" x14ac:dyDescent="0.3">
      <c r="A88" s="72">
        <f t="shared" si="107"/>
        <v>0</v>
      </c>
      <c r="B88" s="113"/>
      <c r="C88" s="28"/>
      <c r="D88" s="118"/>
      <c r="E88" s="72"/>
      <c r="F88" s="113"/>
      <c r="G88" s="113"/>
      <c r="H88" s="113"/>
      <c r="I88" s="313"/>
      <c r="J88" s="142"/>
      <c r="K88" s="213"/>
      <c r="L88" s="72"/>
      <c r="M88" s="27"/>
      <c r="N88" s="118"/>
      <c r="O88" s="72"/>
      <c r="P88" s="72"/>
      <c r="Q88" s="72"/>
      <c r="R88" s="72"/>
      <c r="S88" s="222"/>
      <c r="T88" s="290"/>
      <c r="U88" s="290"/>
      <c r="V88" s="290"/>
      <c r="W88" s="48"/>
      <c r="X88" s="16"/>
      <c r="Y88" s="14"/>
      <c r="Z88" s="16"/>
      <c r="AA88" s="16"/>
      <c r="AB88" s="181"/>
      <c r="AC88" s="260"/>
      <c r="AD88" s="264"/>
      <c r="AE88" s="24"/>
      <c r="AF88" s="258"/>
      <c r="AG88" s="48"/>
      <c r="AH88" s="48"/>
      <c r="AI88" s="102"/>
      <c r="AJ88" s="27"/>
      <c r="AL88" s="28"/>
      <c r="AM88" s="25"/>
      <c r="AN88" s="56"/>
      <c r="AO88" s="251"/>
      <c r="AP88" s="194"/>
      <c r="AQ88" s="208"/>
      <c r="AR88" s="203"/>
      <c r="AS88" s="189"/>
      <c r="AT88" s="198"/>
      <c r="AU88" s="199"/>
      <c r="AV88" s="222"/>
      <c r="AW88" s="118"/>
      <c r="AX88" s="103"/>
      <c r="AY88" s="192"/>
      <c r="AZ88" s="192"/>
      <c r="BA88" s="192"/>
      <c r="BB88" s="113"/>
      <c r="BC88" s="113"/>
      <c r="BD88" s="270"/>
      <c r="BE88" s="228"/>
      <c r="BF88" s="28"/>
      <c r="BG88" s="28"/>
      <c r="BH88" s="118"/>
      <c r="BI88" s="72"/>
      <c r="BJ88" s="73"/>
      <c r="BK88" s="230"/>
      <c r="BL88" s="3">
        <f t="shared" si="86"/>
        <v>0</v>
      </c>
      <c r="BM88" s="3">
        <f t="shared" si="87"/>
        <v>0</v>
      </c>
      <c r="BN88" s="10">
        <f t="shared" si="303"/>
        <v>0</v>
      </c>
      <c r="BO88" s="3">
        <f t="shared" si="304"/>
        <v>0</v>
      </c>
      <c r="BP88" s="3">
        <f t="shared" si="305"/>
        <v>0</v>
      </c>
      <c r="BQ88" s="3">
        <f t="shared" si="306"/>
        <v>0</v>
      </c>
      <c r="BR88" s="3">
        <f t="shared" si="307"/>
        <v>0</v>
      </c>
      <c r="BS88" s="3">
        <f t="shared" si="308"/>
        <v>0</v>
      </c>
      <c r="BT88" s="3"/>
      <c r="BU88" s="3">
        <f t="shared" si="292"/>
        <v>0</v>
      </c>
      <c r="BV88" s="3">
        <f t="shared" si="293"/>
        <v>0</v>
      </c>
      <c r="BW88" s="3">
        <f t="shared" si="294"/>
        <v>0</v>
      </c>
      <c r="BX88" s="3">
        <f t="shared" si="295"/>
        <v>0</v>
      </c>
      <c r="BY88" s="3">
        <f t="shared" si="296"/>
        <v>0</v>
      </c>
      <c r="BZ88" s="3">
        <f t="shared" si="297"/>
        <v>0</v>
      </c>
      <c r="CA88" s="3">
        <f t="shared" si="309"/>
        <v>0</v>
      </c>
      <c r="CB88" s="3">
        <f t="shared" si="298"/>
        <v>0</v>
      </c>
      <c r="CC88" s="3">
        <f t="shared" si="299"/>
        <v>0</v>
      </c>
      <c r="CD88" s="3">
        <f t="shared" si="300"/>
        <v>0</v>
      </c>
      <c r="CE88" s="3">
        <f t="shared" si="301"/>
        <v>0</v>
      </c>
      <c r="CF88" s="3">
        <f t="shared" si="302"/>
        <v>0</v>
      </c>
      <c r="CG88" s="3">
        <f t="shared" si="88"/>
        <v>0</v>
      </c>
      <c r="CH88" s="3">
        <f t="shared" si="89"/>
        <v>0</v>
      </c>
      <c r="CI88" s="3"/>
      <c r="CJ88" s="3">
        <f t="shared" si="310"/>
        <v>0</v>
      </c>
      <c r="CK88" s="3">
        <f t="shared" si="311"/>
        <v>12.96</v>
      </c>
      <c r="CL88" s="3">
        <f t="shared" si="90"/>
        <v>0</v>
      </c>
      <c r="CM88" s="3">
        <f t="shared" si="91"/>
        <v>0</v>
      </c>
      <c r="CN88" s="10">
        <f t="shared" si="312"/>
        <v>0</v>
      </c>
      <c r="CO88" s="3">
        <f t="shared" si="313"/>
        <v>0</v>
      </c>
      <c r="CP88" s="3">
        <f t="shared" si="92"/>
        <v>0</v>
      </c>
      <c r="CQ88" s="3">
        <f t="shared" si="93"/>
        <v>1</v>
      </c>
      <c r="CR88" s="3">
        <f t="shared" si="315"/>
        <v>0</v>
      </c>
      <c r="CS88" s="3"/>
      <c r="CT88" s="3">
        <f t="shared" si="314"/>
        <v>0</v>
      </c>
      <c r="CU88" s="3">
        <f t="shared" si="94"/>
        <v>0</v>
      </c>
      <c r="CV88" s="3"/>
      <c r="CW88" s="3"/>
      <c r="CX88" s="3"/>
      <c r="DD88">
        <f t="shared" si="275"/>
        <v>4.5000000000000005E-2</v>
      </c>
      <c r="DE88">
        <f t="shared" si="276"/>
        <v>0</v>
      </c>
      <c r="DF88">
        <f t="shared" si="277"/>
        <v>0</v>
      </c>
      <c r="DG88">
        <f t="shared" si="278"/>
        <v>0</v>
      </c>
      <c r="DH88">
        <f t="shared" si="279"/>
        <v>0</v>
      </c>
      <c r="DI88">
        <f t="shared" si="280"/>
        <v>0</v>
      </c>
      <c r="DJ88">
        <f t="shared" si="281"/>
        <v>0</v>
      </c>
      <c r="DK88">
        <f t="shared" si="282"/>
        <v>0</v>
      </c>
      <c r="DL88">
        <f t="shared" si="283"/>
        <v>0</v>
      </c>
      <c r="DN88">
        <f t="shared" si="284"/>
        <v>0</v>
      </c>
      <c r="DP88">
        <f t="shared" si="285"/>
        <v>0</v>
      </c>
      <c r="DQ88">
        <f t="shared" si="286"/>
        <v>0</v>
      </c>
      <c r="DR88">
        <f t="shared" si="287"/>
        <v>0</v>
      </c>
      <c r="DU88">
        <f t="shared" si="288"/>
        <v>0</v>
      </c>
    </row>
    <row r="89" spans="1:125" ht="17.25" x14ac:dyDescent="0.3">
      <c r="A89" s="72">
        <f t="shared" si="107"/>
        <v>0</v>
      </c>
      <c r="B89" s="113"/>
      <c r="C89" s="28"/>
      <c r="D89" s="118"/>
      <c r="E89" s="72"/>
      <c r="F89" s="113"/>
      <c r="G89" s="113"/>
      <c r="H89" s="113"/>
      <c r="I89" s="313"/>
      <c r="J89" s="142"/>
      <c r="K89" s="213"/>
      <c r="L89" s="72"/>
      <c r="M89" s="27"/>
      <c r="N89" s="118"/>
      <c r="O89" s="72"/>
      <c r="P89" s="72"/>
      <c r="Q89" s="72"/>
      <c r="R89" s="72"/>
      <c r="S89" s="222"/>
      <c r="T89" s="290"/>
      <c r="U89" s="290"/>
      <c r="V89" s="290"/>
      <c r="W89" s="48"/>
      <c r="X89" s="16"/>
      <c r="Y89" s="14"/>
      <c r="Z89" s="16"/>
      <c r="AA89" s="16"/>
      <c r="AB89" s="181"/>
      <c r="AC89" s="260"/>
      <c r="AD89" s="264"/>
      <c r="AE89" s="24"/>
      <c r="AF89" s="258"/>
      <c r="AG89" s="48"/>
      <c r="AH89" s="48"/>
      <c r="AI89" s="102"/>
      <c r="AJ89" s="27"/>
      <c r="AL89" s="28"/>
      <c r="AM89" s="25"/>
      <c r="AN89" s="56"/>
      <c r="AO89" s="251"/>
      <c r="AP89" s="194"/>
      <c r="AQ89" s="208"/>
      <c r="AR89" s="203"/>
      <c r="AS89" s="189"/>
      <c r="AT89" s="198"/>
      <c r="AU89" s="199"/>
      <c r="AV89" s="222"/>
      <c r="AW89" s="118"/>
      <c r="AX89" s="103"/>
      <c r="AY89" s="192"/>
      <c r="AZ89" s="192"/>
      <c r="BA89" s="192"/>
      <c r="BB89" s="113"/>
      <c r="BC89" s="113"/>
      <c r="BD89" s="270"/>
      <c r="BE89" s="228"/>
      <c r="BF89" s="28"/>
      <c r="BG89" s="28"/>
      <c r="BH89" s="118"/>
      <c r="BI89" s="72"/>
      <c r="BJ89" s="73"/>
      <c r="BK89" s="230"/>
      <c r="BL89" s="3">
        <f t="shared" si="86"/>
        <v>0</v>
      </c>
      <c r="BM89" s="3">
        <f t="shared" si="87"/>
        <v>0</v>
      </c>
      <c r="BN89" s="10">
        <f t="shared" si="303"/>
        <v>0</v>
      </c>
      <c r="BO89" s="3">
        <f t="shared" si="304"/>
        <v>0</v>
      </c>
      <c r="BP89" s="3">
        <f t="shared" si="305"/>
        <v>0</v>
      </c>
      <c r="BQ89" s="3">
        <f t="shared" si="306"/>
        <v>0</v>
      </c>
      <c r="BR89" s="3">
        <f t="shared" si="307"/>
        <v>0</v>
      </c>
      <c r="BS89" s="3">
        <f t="shared" si="308"/>
        <v>0</v>
      </c>
      <c r="BT89" s="3"/>
      <c r="BU89" s="3">
        <f t="shared" si="292"/>
        <v>0</v>
      </c>
      <c r="BV89" s="3">
        <f t="shared" si="293"/>
        <v>0</v>
      </c>
      <c r="BW89" s="3">
        <f t="shared" si="294"/>
        <v>0</v>
      </c>
      <c r="BX89" s="3">
        <f t="shared" si="295"/>
        <v>0</v>
      </c>
      <c r="BY89" s="3">
        <f t="shared" si="296"/>
        <v>0</v>
      </c>
      <c r="BZ89" s="3">
        <f t="shared" si="297"/>
        <v>0</v>
      </c>
      <c r="CA89" s="3">
        <f t="shared" si="309"/>
        <v>0</v>
      </c>
      <c r="CB89" s="3">
        <f t="shared" si="298"/>
        <v>0</v>
      </c>
      <c r="CC89" s="3">
        <f t="shared" si="299"/>
        <v>0</v>
      </c>
      <c r="CD89" s="3">
        <f t="shared" si="300"/>
        <v>0</v>
      </c>
      <c r="CE89" s="3">
        <f t="shared" si="301"/>
        <v>0</v>
      </c>
      <c r="CF89" s="3">
        <f t="shared" si="302"/>
        <v>0</v>
      </c>
      <c r="CG89" s="3">
        <f t="shared" si="88"/>
        <v>0</v>
      </c>
      <c r="CH89" s="3">
        <f t="shared" si="89"/>
        <v>0</v>
      </c>
      <c r="CI89" s="3"/>
      <c r="CJ89" s="3">
        <f t="shared" si="310"/>
        <v>0</v>
      </c>
      <c r="CK89" s="3">
        <f t="shared" si="311"/>
        <v>12.96</v>
      </c>
      <c r="CL89" s="3">
        <f t="shared" si="90"/>
        <v>0</v>
      </c>
      <c r="CM89" s="3">
        <f t="shared" si="91"/>
        <v>0</v>
      </c>
      <c r="CN89" s="10">
        <f t="shared" si="312"/>
        <v>0</v>
      </c>
      <c r="CO89" s="3">
        <f t="shared" si="313"/>
        <v>0</v>
      </c>
      <c r="CP89" s="3">
        <f t="shared" si="92"/>
        <v>0</v>
      </c>
      <c r="CQ89" s="3">
        <f t="shared" si="93"/>
        <v>1</v>
      </c>
      <c r="CR89" s="3">
        <f t="shared" si="315"/>
        <v>0</v>
      </c>
      <c r="CS89" s="3"/>
      <c r="CT89" s="3">
        <f t="shared" si="314"/>
        <v>0</v>
      </c>
      <c r="CU89" s="3">
        <f t="shared" si="94"/>
        <v>0</v>
      </c>
      <c r="CV89" s="3"/>
      <c r="CW89" s="3"/>
      <c r="CX89" s="3"/>
      <c r="DD89">
        <f t="shared" si="275"/>
        <v>4.5000000000000005E-2</v>
      </c>
      <c r="DE89">
        <f t="shared" si="276"/>
        <v>0</v>
      </c>
      <c r="DF89">
        <f t="shared" si="277"/>
        <v>0</v>
      </c>
      <c r="DG89">
        <f t="shared" si="278"/>
        <v>0</v>
      </c>
      <c r="DH89">
        <f t="shared" si="279"/>
        <v>0</v>
      </c>
      <c r="DI89">
        <f t="shared" si="280"/>
        <v>0</v>
      </c>
      <c r="DJ89">
        <f t="shared" si="281"/>
        <v>0</v>
      </c>
      <c r="DK89">
        <f t="shared" si="282"/>
        <v>0</v>
      </c>
      <c r="DL89">
        <f t="shared" si="283"/>
        <v>0</v>
      </c>
      <c r="DN89">
        <f t="shared" si="284"/>
        <v>0</v>
      </c>
      <c r="DP89">
        <f t="shared" si="285"/>
        <v>0</v>
      </c>
      <c r="DQ89">
        <f t="shared" si="286"/>
        <v>0</v>
      </c>
      <c r="DR89">
        <f t="shared" si="287"/>
        <v>0</v>
      </c>
      <c r="DU89">
        <f t="shared" si="288"/>
        <v>0</v>
      </c>
    </row>
    <row r="90" spans="1:125" ht="17.25" x14ac:dyDescent="0.3">
      <c r="A90" s="72">
        <f t="shared" si="107"/>
        <v>0</v>
      </c>
      <c r="B90" s="113"/>
      <c r="C90" s="28"/>
      <c r="D90" s="118"/>
      <c r="E90" s="72"/>
      <c r="F90" s="113"/>
      <c r="G90" s="113"/>
      <c r="H90" s="113"/>
      <c r="I90" s="313"/>
      <c r="J90" s="142"/>
      <c r="K90" s="213"/>
      <c r="L90" s="72"/>
      <c r="M90" s="27"/>
      <c r="N90" s="118"/>
      <c r="O90" s="72"/>
      <c r="P90" s="72"/>
      <c r="Q90" s="72"/>
      <c r="R90" s="72"/>
      <c r="S90" s="222"/>
      <c r="T90" s="290"/>
      <c r="U90" s="290"/>
      <c r="V90" s="290"/>
      <c r="W90" s="48"/>
      <c r="X90" s="16"/>
      <c r="Y90" s="14"/>
      <c r="Z90" s="16"/>
      <c r="AA90" s="16"/>
      <c r="AB90" s="181"/>
      <c r="AC90" s="260"/>
      <c r="AD90" s="264"/>
      <c r="AE90" s="24"/>
      <c r="AF90" s="258"/>
      <c r="AG90" s="48"/>
      <c r="AH90" s="48"/>
      <c r="AI90" s="102"/>
      <c r="AJ90" s="27"/>
      <c r="AL90" s="28"/>
      <c r="AM90" s="25"/>
      <c r="AN90" s="56"/>
      <c r="AO90" s="251"/>
      <c r="AP90" s="194"/>
      <c r="AQ90" s="208"/>
      <c r="AR90" s="203"/>
      <c r="AS90" s="189"/>
      <c r="AT90" s="198"/>
      <c r="AU90" s="199"/>
      <c r="AV90" s="222"/>
      <c r="AW90" s="118"/>
      <c r="AX90" s="103"/>
      <c r="AY90" s="192"/>
      <c r="AZ90" s="192"/>
      <c r="BA90" s="192"/>
      <c r="BB90" s="113"/>
      <c r="BC90" s="113"/>
      <c r="BD90" s="270"/>
      <c r="BE90" s="228"/>
      <c r="BF90" s="28"/>
      <c r="BG90" s="28"/>
      <c r="BH90" s="118"/>
      <c r="BI90" s="72"/>
      <c r="BJ90" s="73"/>
      <c r="BK90" s="230"/>
      <c r="BL90" s="3">
        <f t="shared" si="86"/>
        <v>0</v>
      </c>
      <c r="BM90" s="3">
        <f t="shared" si="87"/>
        <v>0</v>
      </c>
      <c r="BN90" s="10">
        <f t="shared" si="303"/>
        <v>0</v>
      </c>
      <c r="BO90" s="3">
        <f t="shared" si="304"/>
        <v>0</v>
      </c>
      <c r="BP90" s="3">
        <f t="shared" si="305"/>
        <v>0</v>
      </c>
      <c r="BQ90" s="3">
        <f t="shared" si="306"/>
        <v>0</v>
      </c>
      <c r="BR90" s="3">
        <f t="shared" si="307"/>
        <v>0</v>
      </c>
      <c r="BS90" s="3">
        <f t="shared" si="308"/>
        <v>0</v>
      </c>
      <c r="BT90" s="3"/>
      <c r="BU90" s="3">
        <f t="shared" si="292"/>
        <v>0</v>
      </c>
      <c r="BV90" s="3">
        <f t="shared" si="293"/>
        <v>0</v>
      </c>
      <c r="BW90" s="3">
        <f t="shared" si="294"/>
        <v>0</v>
      </c>
      <c r="BX90" s="3">
        <f t="shared" si="295"/>
        <v>0</v>
      </c>
      <c r="BY90" s="3">
        <f t="shared" si="296"/>
        <v>0</v>
      </c>
      <c r="BZ90" s="3">
        <f t="shared" si="297"/>
        <v>0</v>
      </c>
      <c r="CA90" s="3">
        <f t="shared" si="309"/>
        <v>0</v>
      </c>
      <c r="CB90" s="3">
        <f t="shared" si="298"/>
        <v>0</v>
      </c>
      <c r="CC90" s="3">
        <f t="shared" si="299"/>
        <v>0</v>
      </c>
      <c r="CD90" s="3">
        <f t="shared" si="300"/>
        <v>0</v>
      </c>
      <c r="CE90" s="3">
        <f t="shared" si="301"/>
        <v>0</v>
      </c>
      <c r="CF90" s="3">
        <f t="shared" si="302"/>
        <v>0</v>
      </c>
      <c r="CG90" s="3">
        <f t="shared" si="88"/>
        <v>0</v>
      </c>
      <c r="CH90" s="3">
        <f t="shared" si="89"/>
        <v>0</v>
      </c>
      <c r="CI90" s="3"/>
      <c r="CJ90" s="3">
        <f t="shared" si="310"/>
        <v>0</v>
      </c>
      <c r="CK90" s="3">
        <f t="shared" si="311"/>
        <v>12.96</v>
      </c>
      <c r="CL90" s="3">
        <f t="shared" si="90"/>
        <v>0</v>
      </c>
      <c r="CM90" s="3">
        <f t="shared" si="91"/>
        <v>0</v>
      </c>
      <c r="CN90" s="10">
        <f t="shared" si="312"/>
        <v>0</v>
      </c>
      <c r="CO90" s="3">
        <f t="shared" si="313"/>
        <v>0</v>
      </c>
      <c r="CP90" s="3">
        <f t="shared" si="92"/>
        <v>0</v>
      </c>
      <c r="CQ90" s="3">
        <f t="shared" si="93"/>
        <v>1</v>
      </c>
      <c r="CR90" s="3">
        <f t="shared" si="315"/>
        <v>0</v>
      </c>
      <c r="CS90" s="3"/>
      <c r="CT90" s="3">
        <f t="shared" si="314"/>
        <v>0</v>
      </c>
      <c r="CU90" s="3">
        <f t="shared" si="94"/>
        <v>0</v>
      </c>
      <c r="CV90" s="3"/>
      <c r="CW90" s="3"/>
      <c r="CX90" s="3"/>
      <c r="DD90">
        <f t="shared" si="275"/>
        <v>4.5000000000000005E-2</v>
      </c>
      <c r="DE90">
        <f t="shared" si="276"/>
        <v>0</v>
      </c>
      <c r="DF90">
        <f t="shared" si="277"/>
        <v>0</v>
      </c>
      <c r="DG90">
        <f t="shared" si="278"/>
        <v>0</v>
      </c>
      <c r="DH90">
        <f t="shared" si="279"/>
        <v>0</v>
      </c>
      <c r="DI90">
        <f t="shared" si="280"/>
        <v>0</v>
      </c>
      <c r="DJ90">
        <f t="shared" si="281"/>
        <v>0</v>
      </c>
      <c r="DK90">
        <f t="shared" si="282"/>
        <v>0</v>
      </c>
      <c r="DL90">
        <f t="shared" si="283"/>
        <v>0</v>
      </c>
      <c r="DN90">
        <f t="shared" si="284"/>
        <v>0</v>
      </c>
      <c r="DP90">
        <f t="shared" si="285"/>
        <v>0</v>
      </c>
      <c r="DQ90">
        <f t="shared" si="286"/>
        <v>0</v>
      </c>
      <c r="DR90">
        <f t="shared" si="287"/>
        <v>0</v>
      </c>
      <c r="DU90">
        <f t="shared" si="288"/>
        <v>0</v>
      </c>
    </row>
    <row r="91" spans="1:125" ht="17.25" x14ac:dyDescent="0.3">
      <c r="A91" s="72">
        <f t="shared" si="107"/>
        <v>0</v>
      </c>
      <c r="B91" s="113"/>
      <c r="C91" s="28"/>
      <c r="D91" s="118"/>
      <c r="E91" s="72"/>
      <c r="F91" s="113"/>
      <c r="G91" s="113"/>
      <c r="H91" s="113"/>
      <c r="I91" s="313"/>
      <c r="J91" s="142"/>
      <c r="K91" s="213"/>
      <c r="L91" s="72"/>
      <c r="M91" s="27"/>
      <c r="N91" s="118"/>
      <c r="O91" s="72"/>
      <c r="P91" s="72"/>
      <c r="Q91" s="72"/>
      <c r="R91" s="72"/>
      <c r="S91" s="222"/>
      <c r="T91" s="290"/>
      <c r="U91" s="290"/>
      <c r="V91" s="290"/>
      <c r="W91" s="48"/>
      <c r="X91" s="16"/>
      <c r="Y91" s="14"/>
      <c r="Z91" s="16"/>
      <c r="AA91" s="16"/>
      <c r="AB91" s="181"/>
      <c r="AC91" s="260"/>
      <c r="AD91" s="264"/>
      <c r="AE91" s="24"/>
      <c r="AF91" s="258"/>
      <c r="AG91" s="48"/>
      <c r="AH91" s="48"/>
      <c r="AI91" s="102"/>
      <c r="AJ91" s="27"/>
      <c r="AL91" s="28"/>
      <c r="AM91" s="25"/>
      <c r="AN91" s="56"/>
      <c r="AO91" s="251"/>
      <c r="AP91" s="194"/>
      <c r="AQ91" s="208"/>
      <c r="AR91" s="203"/>
      <c r="AS91" s="189"/>
      <c r="AT91" s="198"/>
      <c r="AU91" s="199"/>
      <c r="AV91" s="222"/>
      <c r="AW91" s="118"/>
      <c r="AX91" s="103"/>
      <c r="AY91" s="192"/>
      <c r="AZ91" s="192"/>
      <c r="BA91" s="192"/>
      <c r="BB91" s="113"/>
      <c r="BC91" s="113"/>
      <c r="BD91" s="270"/>
      <c r="BE91" s="228"/>
      <c r="BF91" s="28"/>
      <c r="BG91" s="28"/>
      <c r="BH91" s="118"/>
      <c r="BI91" s="72"/>
      <c r="BJ91" s="73"/>
      <c r="BK91" s="230"/>
      <c r="BL91" s="3">
        <f t="shared" si="86"/>
        <v>0</v>
      </c>
      <c r="BM91" s="3">
        <f t="shared" si="87"/>
        <v>0</v>
      </c>
      <c r="BN91" s="10">
        <f t="shared" si="303"/>
        <v>0</v>
      </c>
      <c r="BO91" s="3">
        <f t="shared" si="304"/>
        <v>0</v>
      </c>
      <c r="BP91" s="3">
        <f t="shared" si="305"/>
        <v>0</v>
      </c>
      <c r="BQ91" s="3">
        <f t="shared" si="306"/>
        <v>0</v>
      </c>
      <c r="BR91" s="3">
        <f t="shared" si="307"/>
        <v>0</v>
      </c>
      <c r="BS91" s="3">
        <f t="shared" si="308"/>
        <v>0</v>
      </c>
      <c r="BT91" s="3"/>
      <c r="BU91" s="3">
        <f t="shared" si="292"/>
        <v>0</v>
      </c>
      <c r="BV91" s="3">
        <f t="shared" si="293"/>
        <v>0</v>
      </c>
      <c r="BW91" s="3">
        <f t="shared" si="294"/>
        <v>0</v>
      </c>
      <c r="BX91" s="3">
        <f t="shared" si="295"/>
        <v>0</v>
      </c>
      <c r="BY91" s="3">
        <f t="shared" si="296"/>
        <v>0</v>
      </c>
      <c r="BZ91" s="3">
        <f t="shared" si="297"/>
        <v>0</v>
      </c>
      <c r="CA91" s="3">
        <f t="shared" si="309"/>
        <v>0</v>
      </c>
      <c r="CB91" s="3">
        <f t="shared" si="298"/>
        <v>0</v>
      </c>
      <c r="CC91" s="3">
        <f t="shared" si="299"/>
        <v>0</v>
      </c>
      <c r="CD91" s="3">
        <f t="shared" si="300"/>
        <v>0</v>
      </c>
      <c r="CE91" s="3">
        <f t="shared" si="301"/>
        <v>0</v>
      </c>
      <c r="CF91" s="3">
        <f t="shared" si="302"/>
        <v>0</v>
      </c>
      <c r="CG91" s="3">
        <f t="shared" si="88"/>
        <v>0</v>
      </c>
      <c r="CH91" s="3">
        <f t="shared" si="89"/>
        <v>0</v>
      </c>
      <c r="CI91" s="3"/>
      <c r="CJ91" s="3">
        <f t="shared" si="310"/>
        <v>0</v>
      </c>
      <c r="CK91" s="3">
        <f t="shared" si="311"/>
        <v>12.96</v>
      </c>
      <c r="CL91" s="3">
        <f t="shared" si="90"/>
        <v>0</v>
      </c>
      <c r="CM91" s="3">
        <f t="shared" si="91"/>
        <v>0</v>
      </c>
      <c r="CN91" s="10">
        <f t="shared" si="312"/>
        <v>0</v>
      </c>
      <c r="CO91" s="3">
        <f t="shared" si="313"/>
        <v>0</v>
      </c>
      <c r="CP91" s="3">
        <f t="shared" si="92"/>
        <v>0</v>
      </c>
      <c r="CQ91" s="3">
        <f t="shared" si="93"/>
        <v>1</v>
      </c>
      <c r="CR91" s="3">
        <f t="shared" si="315"/>
        <v>0</v>
      </c>
      <c r="CS91" s="3"/>
      <c r="CT91" s="3">
        <f t="shared" si="314"/>
        <v>0</v>
      </c>
      <c r="CU91" s="3">
        <f t="shared" si="94"/>
        <v>0</v>
      </c>
      <c r="CV91" s="3"/>
      <c r="CW91" s="3"/>
      <c r="CX91" s="3"/>
      <c r="DD91">
        <f t="shared" si="275"/>
        <v>4.5000000000000005E-2</v>
      </c>
      <c r="DE91">
        <f t="shared" si="276"/>
        <v>0</v>
      </c>
      <c r="DF91">
        <f t="shared" si="277"/>
        <v>0</v>
      </c>
      <c r="DG91">
        <f t="shared" si="278"/>
        <v>0</v>
      </c>
      <c r="DH91">
        <f t="shared" si="279"/>
        <v>0</v>
      </c>
      <c r="DI91">
        <f t="shared" si="280"/>
        <v>0</v>
      </c>
      <c r="DJ91">
        <f t="shared" si="281"/>
        <v>0</v>
      </c>
      <c r="DK91">
        <f t="shared" si="282"/>
        <v>0</v>
      </c>
      <c r="DL91">
        <f t="shared" si="283"/>
        <v>0</v>
      </c>
      <c r="DN91">
        <f t="shared" si="284"/>
        <v>0</v>
      </c>
      <c r="DP91">
        <f t="shared" si="285"/>
        <v>0</v>
      </c>
      <c r="DQ91">
        <f t="shared" si="286"/>
        <v>0</v>
      </c>
      <c r="DR91">
        <f t="shared" si="287"/>
        <v>0</v>
      </c>
      <c r="DU91">
        <f t="shared" si="288"/>
        <v>0</v>
      </c>
    </row>
    <row r="92" spans="1:125" ht="17.25" x14ac:dyDescent="0.3">
      <c r="A92" s="72">
        <f t="shared" si="107"/>
        <v>0</v>
      </c>
      <c r="B92" s="113"/>
      <c r="C92" s="28"/>
      <c r="D92" s="118"/>
      <c r="E92" s="72"/>
      <c r="F92" s="113"/>
      <c r="G92" s="113"/>
      <c r="H92" s="113"/>
      <c r="I92" s="313"/>
      <c r="J92" s="142"/>
      <c r="K92" s="213"/>
      <c r="L92" s="72"/>
      <c r="M92" s="27"/>
      <c r="N92" s="118"/>
      <c r="O92" s="72"/>
      <c r="P92" s="72"/>
      <c r="Q92" s="72"/>
      <c r="R92" s="72"/>
      <c r="S92" s="222"/>
      <c r="T92" s="290"/>
      <c r="U92" s="290"/>
      <c r="V92" s="290"/>
      <c r="W92" s="48"/>
      <c r="X92" s="16"/>
      <c r="Y92" s="14"/>
      <c r="Z92" s="16"/>
      <c r="AA92" s="16"/>
      <c r="AB92" s="181"/>
      <c r="AC92" s="260"/>
      <c r="AD92" s="264"/>
      <c r="AE92" s="24"/>
      <c r="AF92" s="258"/>
      <c r="AG92" s="48"/>
      <c r="AH92" s="48"/>
      <c r="AI92" s="102"/>
      <c r="AJ92" s="27"/>
      <c r="AL92" s="28"/>
      <c r="AM92" s="25"/>
      <c r="AN92" s="56"/>
      <c r="AO92" s="251"/>
      <c r="AP92" s="194"/>
      <c r="AQ92" s="208"/>
      <c r="AR92" s="203"/>
      <c r="AS92" s="189"/>
      <c r="AT92" s="198"/>
      <c r="AU92" s="199"/>
      <c r="AV92" s="222"/>
      <c r="AW92" s="118"/>
      <c r="AX92" s="103"/>
      <c r="AY92" s="192"/>
      <c r="AZ92" s="192"/>
      <c r="BA92" s="192"/>
      <c r="BB92" s="113"/>
      <c r="BC92" s="113"/>
      <c r="BD92" s="270"/>
      <c r="BE92" s="228"/>
      <c r="BF92" s="28"/>
      <c r="BG92" s="28"/>
      <c r="BH92" s="118"/>
      <c r="BI92" s="72"/>
      <c r="BJ92" s="73"/>
      <c r="BK92" s="230"/>
      <c r="BL92" s="3">
        <f t="shared" si="86"/>
        <v>0</v>
      </c>
      <c r="BM92" s="3">
        <f t="shared" si="87"/>
        <v>0</v>
      </c>
      <c r="BN92" s="10">
        <f t="shared" si="303"/>
        <v>0</v>
      </c>
      <c r="BO92" s="3">
        <f t="shared" si="304"/>
        <v>0</v>
      </c>
      <c r="BP92" s="3">
        <f t="shared" si="305"/>
        <v>0</v>
      </c>
      <c r="BQ92" s="3">
        <f t="shared" si="306"/>
        <v>0</v>
      </c>
      <c r="BR92" s="3">
        <f t="shared" si="307"/>
        <v>0</v>
      </c>
      <c r="BS92" s="3">
        <f t="shared" si="308"/>
        <v>0</v>
      </c>
      <c r="BT92" s="3"/>
      <c r="BU92" s="3">
        <f t="shared" si="292"/>
        <v>0</v>
      </c>
      <c r="BV92" s="3">
        <f t="shared" si="293"/>
        <v>0</v>
      </c>
      <c r="BW92" s="3">
        <f t="shared" si="294"/>
        <v>0</v>
      </c>
      <c r="BX92" s="3">
        <f t="shared" si="295"/>
        <v>0</v>
      </c>
      <c r="BY92" s="3">
        <f t="shared" si="296"/>
        <v>0</v>
      </c>
      <c r="BZ92" s="3">
        <f t="shared" si="297"/>
        <v>0</v>
      </c>
      <c r="CA92" s="3">
        <f t="shared" si="309"/>
        <v>0</v>
      </c>
      <c r="CB92" s="3">
        <f t="shared" si="298"/>
        <v>0</v>
      </c>
      <c r="CC92" s="3">
        <f t="shared" si="299"/>
        <v>0</v>
      </c>
      <c r="CD92" s="3">
        <f t="shared" si="300"/>
        <v>0</v>
      </c>
      <c r="CE92" s="3">
        <f t="shared" si="301"/>
        <v>0</v>
      </c>
      <c r="CF92" s="3">
        <f t="shared" si="302"/>
        <v>0</v>
      </c>
      <c r="CG92" s="3">
        <f t="shared" si="88"/>
        <v>0</v>
      </c>
      <c r="CH92" s="3">
        <f t="shared" si="89"/>
        <v>0</v>
      </c>
      <c r="CI92" s="3"/>
      <c r="CJ92" s="3">
        <f t="shared" si="310"/>
        <v>0</v>
      </c>
      <c r="CK92" s="3">
        <f t="shared" si="311"/>
        <v>12.96</v>
      </c>
      <c r="CL92" s="3">
        <f t="shared" si="90"/>
        <v>0</v>
      </c>
      <c r="CM92" s="3">
        <f t="shared" si="91"/>
        <v>0</v>
      </c>
      <c r="CN92" s="10">
        <f t="shared" si="312"/>
        <v>0</v>
      </c>
      <c r="CO92" s="3">
        <f t="shared" si="313"/>
        <v>0</v>
      </c>
      <c r="CP92" s="3">
        <f t="shared" si="92"/>
        <v>0</v>
      </c>
      <c r="CQ92" s="3">
        <f t="shared" si="93"/>
        <v>1</v>
      </c>
      <c r="CR92" s="3">
        <f t="shared" si="315"/>
        <v>0</v>
      </c>
      <c r="CS92" s="3"/>
      <c r="CT92" s="3">
        <f t="shared" si="314"/>
        <v>0</v>
      </c>
      <c r="CU92" s="3">
        <f t="shared" si="94"/>
        <v>0</v>
      </c>
      <c r="CV92" s="3"/>
      <c r="CW92" s="3"/>
      <c r="CX92" s="3"/>
      <c r="DD92">
        <f t="shared" si="275"/>
        <v>4.5000000000000005E-2</v>
      </c>
      <c r="DE92">
        <f t="shared" si="276"/>
        <v>0</v>
      </c>
      <c r="DF92">
        <f t="shared" si="277"/>
        <v>0</v>
      </c>
      <c r="DG92">
        <f t="shared" si="278"/>
        <v>0</v>
      </c>
      <c r="DH92">
        <f t="shared" si="279"/>
        <v>0</v>
      </c>
      <c r="DI92">
        <f t="shared" si="280"/>
        <v>0</v>
      </c>
      <c r="DJ92">
        <f t="shared" si="281"/>
        <v>0</v>
      </c>
      <c r="DK92">
        <f t="shared" si="282"/>
        <v>0</v>
      </c>
      <c r="DL92">
        <f t="shared" si="283"/>
        <v>0</v>
      </c>
      <c r="DN92">
        <f t="shared" si="284"/>
        <v>0</v>
      </c>
      <c r="DP92">
        <f t="shared" si="285"/>
        <v>0</v>
      </c>
      <c r="DQ92">
        <f t="shared" si="286"/>
        <v>0</v>
      </c>
      <c r="DR92">
        <f t="shared" si="287"/>
        <v>0</v>
      </c>
      <c r="DU92">
        <f t="shared" si="288"/>
        <v>0</v>
      </c>
    </row>
    <row r="93" spans="1:125" ht="17.25" x14ac:dyDescent="0.3">
      <c r="A93" s="72">
        <f t="shared" si="107"/>
        <v>0</v>
      </c>
      <c r="B93" s="113"/>
      <c r="C93" s="28"/>
      <c r="D93" s="118"/>
      <c r="E93" s="72"/>
      <c r="F93" s="113"/>
      <c r="G93" s="113"/>
      <c r="H93" s="113"/>
      <c r="I93" s="313"/>
      <c r="J93" s="142"/>
      <c r="K93" s="213"/>
      <c r="L93" s="72"/>
      <c r="M93" s="27"/>
      <c r="N93" s="118"/>
      <c r="O93" s="72"/>
      <c r="P93" s="72"/>
      <c r="Q93" s="72"/>
      <c r="R93" s="72"/>
      <c r="S93" s="222"/>
      <c r="T93" s="290"/>
      <c r="U93" s="290"/>
      <c r="V93" s="290"/>
      <c r="W93" s="48"/>
      <c r="X93" s="16"/>
      <c r="Y93" s="14"/>
      <c r="Z93" s="16"/>
      <c r="AA93" s="16"/>
      <c r="AB93" s="181"/>
      <c r="AC93" s="260"/>
      <c r="AD93" s="264"/>
      <c r="AE93" s="24"/>
      <c r="AF93" s="258"/>
      <c r="AG93" s="48"/>
      <c r="AH93" s="48"/>
      <c r="AI93" s="102"/>
      <c r="AJ93" s="27"/>
      <c r="AL93" s="28"/>
      <c r="AM93" s="25"/>
      <c r="AN93" s="56"/>
      <c r="AO93" s="251"/>
      <c r="AP93" s="194"/>
      <c r="AQ93" s="208"/>
      <c r="AR93" s="203"/>
      <c r="AS93" s="189"/>
      <c r="AT93" s="198"/>
      <c r="AU93" s="199"/>
      <c r="AV93" s="222"/>
      <c r="AW93" s="118"/>
      <c r="AX93" s="103"/>
      <c r="AY93" s="192"/>
      <c r="AZ93" s="192"/>
      <c r="BA93" s="192"/>
      <c r="BB93" s="113"/>
      <c r="BC93" s="113"/>
      <c r="BD93" s="270"/>
      <c r="BE93" s="228"/>
      <c r="BF93" s="28"/>
      <c r="BG93" s="28"/>
      <c r="BH93" s="118"/>
      <c r="BI93" s="72"/>
      <c r="BJ93" s="73"/>
      <c r="BK93" s="230"/>
      <c r="BL93" s="3">
        <f t="shared" si="86"/>
        <v>0</v>
      </c>
      <c r="BM93" s="3">
        <f t="shared" si="87"/>
        <v>0</v>
      </c>
      <c r="BN93" s="10">
        <f t="shared" si="303"/>
        <v>0</v>
      </c>
      <c r="BO93" s="3">
        <f t="shared" si="304"/>
        <v>0</v>
      </c>
      <c r="BP93" s="3">
        <f t="shared" si="305"/>
        <v>0</v>
      </c>
      <c r="BQ93" s="3">
        <f t="shared" si="306"/>
        <v>0</v>
      </c>
      <c r="BR93" s="3">
        <f t="shared" si="307"/>
        <v>0</v>
      </c>
      <c r="BS93" s="3">
        <f t="shared" si="308"/>
        <v>0</v>
      </c>
      <c r="BT93" s="3"/>
      <c r="BU93" s="3">
        <f t="shared" si="292"/>
        <v>0</v>
      </c>
      <c r="BV93" s="3">
        <f t="shared" si="293"/>
        <v>0</v>
      </c>
      <c r="BW93" s="3">
        <f t="shared" si="294"/>
        <v>0</v>
      </c>
      <c r="BX93" s="3">
        <f t="shared" si="295"/>
        <v>0</v>
      </c>
      <c r="BY93" s="3">
        <f t="shared" si="296"/>
        <v>0</v>
      </c>
      <c r="BZ93" s="3">
        <f t="shared" si="297"/>
        <v>0</v>
      </c>
      <c r="CA93" s="3">
        <f t="shared" si="309"/>
        <v>0</v>
      </c>
      <c r="CB93" s="3">
        <f t="shared" si="298"/>
        <v>0</v>
      </c>
      <c r="CC93" s="3">
        <f t="shared" si="299"/>
        <v>0</v>
      </c>
      <c r="CD93" s="3">
        <f t="shared" si="300"/>
        <v>0</v>
      </c>
      <c r="CE93" s="3">
        <f t="shared" si="301"/>
        <v>0</v>
      </c>
      <c r="CF93" s="3">
        <f t="shared" si="302"/>
        <v>0</v>
      </c>
      <c r="CG93" s="3">
        <f t="shared" si="88"/>
        <v>0</v>
      </c>
      <c r="CH93" s="3">
        <f t="shared" si="89"/>
        <v>0</v>
      </c>
      <c r="CI93" s="3"/>
      <c r="CJ93" s="3">
        <f t="shared" si="310"/>
        <v>0</v>
      </c>
      <c r="CK93" s="3">
        <f t="shared" si="311"/>
        <v>12.96</v>
      </c>
      <c r="CL93" s="3">
        <f t="shared" si="90"/>
        <v>0</v>
      </c>
      <c r="CM93" s="3">
        <f t="shared" si="91"/>
        <v>0</v>
      </c>
      <c r="CN93" s="10">
        <f t="shared" si="312"/>
        <v>0</v>
      </c>
      <c r="CO93" s="3">
        <f t="shared" si="313"/>
        <v>0</v>
      </c>
      <c r="CP93" s="3">
        <f t="shared" si="92"/>
        <v>0</v>
      </c>
      <c r="CQ93" s="3">
        <f t="shared" si="93"/>
        <v>1</v>
      </c>
      <c r="CR93" s="3">
        <f t="shared" si="315"/>
        <v>0</v>
      </c>
      <c r="CS93" s="3"/>
      <c r="CT93" s="3">
        <f t="shared" si="314"/>
        <v>0</v>
      </c>
      <c r="CU93" s="3">
        <f t="shared" si="94"/>
        <v>0</v>
      </c>
      <c r="CV93" s="3"/>
      <c r="CW93" s="3"/>
      <c r="CX93" s="3"/>
      <c r="DD93">
        <f t="shared" si="275"/>
        <v>4.5000000000000005E-2</v>
      </c>
      <c r="DE93">
        <f t="shared" si="276"/>
        <v>0</v>
      </c>
      <c r="DF93">
        <f t="shared" si="277"/>
        <v>0</v>
      </c>
      <c r="DG93">
        <f t="shared" si="278"/>
        <v>0</v>
      </c>
      <c r="DH93">
        <f t="shared" si="279"/>
        <v>0</v>
      </c>
      <c r="DI93">
        <f t="shared" si="280"/>
        <v>0</v>
      </c>
      <c r="DJ93">
        <f t="shared" si="281"/>
        <v>0</v>
      </c>
      <c r="DK93">
        <f t="shared" si="282"/>
        <v>0</v>
      </c>
      <c r="DL93">
        <f t="shared" si="283"/>
        <v>0</v>
      </c>
      <c r="DN93">
        <f t="shared" si="284"/>
        <v>0</v>
      </c>
      <c r="DP93">
        <f t="shared" si="285"/>
        <v>0</v>
      </c>
      <c r="DQ93">
        <f t="shared" si="286"/>
        <v>0</v>
      </c>
      <c r="DR93">
        <f t="shared" si="287"/>
        <v>0</v>
      </c>
      <c r="DU93">
        <f t="shared" si="288"/>
        <v>0</v>
      </c>
    </row>
    <row r="94" spans="1:125" ht="17.25" x14ac:dyDescent="0.3">
      <c r="A94" s="72">
        <f t="shared" si="107"/>
        <v>0</v>
      </c>
      <c r="B94" s="113"/>
      <c r="C94" s="28"/>
      <c r="D94" s="118"/>
      <c r="E94" s="72"/>
      <c r="F94" s="113"/>
      <c r="G94" s="113"/>
      <c r="H94" s="113"/>
      <c r="I94" s="313"/>
      <c r="J94" s="142"/>
      <c r="K94" s="213"/>
      <c r="L94" s="72"/>
      <c r="M94" s="27"/>
      <c r="N94" s="118"/>
      <c r="O94" s="72"/>
      <c r="P94" s="72"/>
      <c r="Q94" s="72"/>
      <c r="R94" s="72"/>
      <c r="S94" s="222"/>
      <c r="T94" s="290"/>
      <c r="U94" s="290"/>
      <c r="V94" s="290"/>
      <c r="W94" s="48"/>
      <c r="X94" s="16"/>
      <c r="Y94" s="14"/>
      <c r="Z94" s="16"/>
      <c r="AA94" s="16"/>
      <c r="AB94" s="181"/>
      <c r="AC94" s="260"/>
      <c r="AD94" s="264"/>
      <c r="AE94" s="24"/>
      <c r="AF94" s="258"/>
      <c r="AG94" s="48"/>
      <c r="AH94" s="48"/>
      <c r="AI94" s="102"/>
      <c r="AJ94" s="27"/>
      <c r="AL94" s="28"/>
      <c r="AM94" s="25"/>
      <c r="AN94" s="56"/>
      <c r="AO94" s="251"/>
      <c r="AP94" s="194"/>
      <c r="AQ94" s="208"/>
      <c r="AR94" s="203"/>
      <c r="AS94" s="189"/>
      <c r="AT94" s="198"/>
      <c r="AU94" s="199"/>
      <c r="AV94" s="222"/>
      <c r="AW94" s="118"/>
      <c r="AX94" s="103"/>
      <c r="AY94" s="192"/>
      <c r="AZ94" s="192"/>
      <c r="BA94" s="192"/>
      <c r="BB94" s="113"/>
      <c r="BC94" s="113"/>
      <c r="BD94" s="270"/>
      <c r="BE94" s="228"/>
      <c r="BF94" s="28"/>
      <c r="BG94" s="28"/>
      <c r="BH94" s="118"/>
      <c r="BI94" s="72"/>
      <c r="BJ94" s="73"/>
      <c r="BK94" s="230"/>
      <c r="BL94" s="3">
        <f t="shared" si="86"/>
        <v>0</v>
      </c>
      <c r="BM94" s="3">
        <f t="shared" si="87"/>
        <v>0</v>
      </c>
      <c r="BN94" s="10">
        <f t="shared" si="303"/>
        <v>0</v>
      </c>
      <c r="BO94" s="3">
        <f t="shared" si="304"/>
        <v>0</v>
      </c>
      <c r="BP94" s="3">
        <f t="shared" si="305"/>
        <v>0</v>
      </c>
      <c r="BQ94" s="3">
        <f t="shared" si="306"/>
        <v>0</v>
      </c>
      <c r="BR94" s="3">
        <f t="shared" si="307"/>
        <v>0</v>
      </c>
      <c r="BS94" s="3">
        <f t="shared" si="308"/>
        <v>0</v>
      </c>
      <c r="BT94" s="3"/>
      <c r="BU94" s="3">
        <f t="shared" si="292"/>
        <v>0</v>
      </c>
      <c r="BV94" s="3">
        <f t="shared" si="293"/>
        <v>0</v>
      </c>
      <c r="BW94" s="3">
        <f t="shared" si="294"/>
        <v>0</v>
      </c>
      <c r="BX94" s="3">
        <f t="shared" si="295"/>
        <v>0</v>
      </c>
      <c r="BY94" s="3">
        <f t="shared" si="296"/>
        <v>0</v>
      </c>
      <c r="BZ94" s="3">
        <f t="shared" si="297"/>
        <v>0</v>
      </c>
      <c r="CA94" s="3">
        <f t="shared" si="309"/>
        <v>0</v>
      </c>
      <c r="CB94" s="3">
        <f t="shared" si="298"/>
        <v>0</v>
      </c>
      <c r="CC94" s="3">
        <f t="shared" si="299"/>
        <v>0</v>
      </c>
      <c r="CD94" s="3">
        <f t="shared" si="300"/>
        <v>0</v>
      </c>
      <c r="CE94" s="3">
        <f t="shared" si="301"/>
        <v>0</v>
      </c>
      <c r="CF94" s="3">
        <f t="shared" si="302"/>
        <v>0</v>
      </c>
      <c r="CG94" s="3">
        <f t="shared" si="88"/>
        <v>0</v>
      </c>
      <c r="CH94" s="3">
        <f t="shared" si="89"/>
        <v>0</v>
      </c>
      <c r="CI94" s="3"/>
      <c r="CJ94" s="3">
        <f t="shared" si="310"/>
        <v>0</v>
      </c>
      <c r="CK94" s="3">
        <f t="shared" si="311"/>
        <v>12.96</v>
      </c>
      <c r="CL94" s="3">
        <f t="shared" si="90"/>
        <v>0</v>
      </c>
      <c r="CM94" s="3">
        <f t="shared" si="91"/>
        <v>0</v>
      </c>
      <c r="CN94" s="10">
        <f t="shared" si="312"/>
        <v>0</v>
      </c>
      <c r="CO94" s="3">
        <f t="shared" si="313"/>
        <v>0</v>
      </c>
      <c r="CP94" s="3">
        <f t="shared" si="92"/>
        <v>0</v>
      </c>
      <c r="CQ94" s="3">
        <f t="shared" si="93"/>
        <v>1</v>
      </c>
      <c r="CR94" s="3">
        <f t="shared" si="315"/>
        <v>0</v>
      </c>
      <c r="CS94" s="3"/>
      <c r="CT94" s="3">
        <f t="shared" si="314"/>
        <v>0</v>
      </c>
      <c r="CU94" s="3">
        <f t="shared" si="94"/>
        <v>0</v>
      </c>
      <c r="CV94" s="3"/>
      <c r="CW94" s="3"/>
      <c r="CX94" s="3"/>
      <c r="DD94">
        <f t="shared" si="275"/>
        <v>4.5000000000000005E-2</v>
      </c>
      <c r="DE94">
        <f t="shared" si="276"/>
        <v>0</v>
      </c>
      <c r="DF94">
        <f t="shared" si="277"/>
        <v>0</v>
      </c>
      <c r="DG94">
        <f t="shared" si="278"/>
        <v>0</v>
      </c>
      <c r="DH94">
        <f t="shared" si="279"/>
        <v>0</v>
      </c>
      <c r="DI94">
        <f t="shared" si="280"/>
        <v>0</v>
      </c>
      <c r="DJ94">
        <f t="shared" si="281"/>
        <v>0</v>
      </c>
      <c r="DK94">
        <f t="shared" si="282"/>
        <v>0</v>
      </c>
      <c r="DL94">
        <f t="shared" si="283"/>
        <v>0</v>
      </c>
      <c r="DN94">
        <f t="shared" si="284"/>
        <v>0</v>
      </c>
      <c r="DP94">
        <f t="shared" si="285"/>
        <v>0</v>
      </c>
      <c r="DQ94">
        <f t="shared" si="286"/>
        <v>0</v>
      </c>
      <c r="DR94">
        <f t="shared" si="287"/>
        <v>0</v>
      </c>
      <c r="DU94">
        <f t="shared" si="288"/>
        <v>0</v>
      </c>
    </row>
    <row r="95" spans="1:125" ht="17.25" x14ac:dyDescent="0.3">
      <c r="A95" s="72">
        <f t="shared" si="107"/>
        <v>0</v>
      </c>
      <c r="B95" s="113"/>
      <c r="C95" s="28"/>
      <c r="D95" s="118"/>
      <c r="E95" s="72"/>
      <c r="F95" s="113"/>
      <c r="G95" s="113"/>
      <c r="H95" s="113"/>
      <c r="I95" s="313"/>
      <c r="J95" s="142"/>
      <c r="K95" s="213"/>
      <c r="L95" s="72"/>
      <c r="M95" s="27"/>
      <c r="N95" s="118"/>
      <c r="O95" s="72"/>
      <c r="P95" s="72"/>
      <c r="Q95" s="72"/>
      <c r="R95" s="72"/>
      <c r="S95" s="222"/>
      <c r="T95" s="290"/>
      <c r="U95" s="290"/>
      <c r="V95" s="290"/>
      <c r="W95" s="48"/>
      <c r="X95" s="16"/>
      <c r="Y95" s="14"/>
      <c r="Z95" s="16"/>
      <c r="AA95" s="16"/>
      <c r="AB95" s="181"/>
      <c r="AC95" s="260"/>
      <c r="AD95" s="264"/>
      <c r="AE95" s="24"/>
      <c r="AF95" s="258"/>
      <c r="AG95" s="48"/>
      <c r="AH95" s="48"/>
      <c r="AI95" s="102"/>
      <c r="AJ95" s="27"/>
      <c r="AL95" s="28"/>
      <c r="AM95" s="25"/>
      <c r="AN95" s="56"/>
      <c r="AO95" s="251"/>
      <c r="AP95" s="194"/>
      <c r="AQ95" s="208"/>
      <c r="AR95" s="203"/>
      <c r="AS95" s="189"/>
      <c r="AT95" s="198"/>
      <c r="AU95" s="199"/>
      <c r="AV95" s="222"/>
      <c r="AW95" s="118"/>
      <c r="AX95" s="103"/>
      <c r="AY95" s="192"/>
      <c r="AZ95" s="192"/>
      <c r="BA95" s="192"/>
      <c r="BB95" s="113"/>
      <c r="BC95" s="113"/>
      <c r="BD95" s="270"/>
      <c r="BE95" s="228"/>
      <c r="BF95" s="28"/>
      <c r="BG95" s="28"/>
      <c r="BH95" s="118"/>
      <c r="BI95" s="72"/>
      <c r="BJ95" s="73"/>
      <c r="BK95" s="230"/>
      <c r="BL95" s="3">
        <f t="shared" si="86"/>
        <v>0</v>
      </c>
      <c r="BM95" s="3">
        <f t="shared" si="87"/>
        <v>0</v>
      </c>
      <c r="BN95" s="10">
        <f t="shared" si="303"/>
        <v>0</v>
      </c>
      <c r="BO95" s="3">
        <f t="shared" si="304"/>
        <v>0</v>
      </c>
      <c r="BP95" s="3">
        <f t="shared" si="305"/>
        <v>0</v>
      </c>
      <c r="BQ95" s="3">
        <f t="shared" si="306"/>
        <v>0</v>
      </c>
      <c r="BR95" s="3">
        <f t="shared" si="307"/>
        <v>0</v>
      </c>
      <c r="BS95" s="3">
        <f t="shared" si="308"/>
        <v>0</v>
      </c>
      <c r="BT95" s="3"/>
      <c r="BU95" s="3">
        <f t="shared" si="292"/>
        <v>0</v>
      </c>
      <c r="BV95" s="3">
        <f t="shared" si="293"/>
        <v>0</v>
      </c>
      <c r="BW95" s="3">
        <f t="shared" si="294"/>
        <v>0</v>
      </c>
      <c r="BX95" s="3">
        <f t="shared" si="295"/>
        <v>0</v>
      </c>
      <c r="BY95" s="3">
        <f t="shared" si="296"/>
        <v>0</v>
      </c>
      <c r="BZ95" s="3">
        <f t="shared" si="297"/>
        <v>0</v>
      </c>
      <c r="CA95" s="3">
        <f t="shared" si="309"/>
        <v>0</v>
      </c>
      <c r="CB95" s="3">
        <f t="shared" si="298"/>
        <v>0</v>
      </c>
      <c r="CC95" s="3">
        <f t="shared" si="299"/>
        <v>0</v>
      </c>
      <c r="CD95" s="3">
        <f t="shared" si="300"/>
        <v>0</v>
      </c>
      <c r="CE95" s="3">
        <f t="shared" si="301"/>
        <v>0</v>
      </c>
      <c r="CF95" s="3">
        <f t="shared" si="302"/>
        <v>0</v>
      </c>
      <c r="CG95" s="3">
        <f t="shared" si="88"/>
        <v>0</v>
      </c>
      <c r="CH95" s="3">
        <f t="shared" si="89"/>
        <v>0</v>
      </c>
      <c r="CI95" s="3"/>
      <c r="CJ95" s="3">
        <f t="shared" si="310"/>
        <v>0</v>
      </c>
      <c r="CK95" s="3">
        <f t="shared" si="311"/>
        <v>12.96</v>
      </c>
      <c r="CL95" s="3">
        <f t="shared" si="90"/>
        <v>0</v>
      </c>
      <c r="CM95" s="3">
        <f t="shared" si="91"/>
        <v>0</v>
      </c>
      <c r="CN95" s="10">
        <f t="shared" si="312"/>
        <v>0</v>
      </c>
      <c r="CO95" s="3">
        <f t="shared" si="313"/>
        <v>0</v>
      </c>
      <c r="CP95" s="3">
        <f t="shared" si="92"/>
        <v>0</v>
      </c>
      <c r="CQ95" s="3">
        <f t="shared" si="93"/>
        <v>1</v>
      </c>
      <c r="CR95" s="3">
        <f t="shared" si="315"/>
        <v>0</v>
      </c>
      <c r="CS95" s="3"/>
      <c r="CT95" s="3">
        <f t="shared" si="314"/>
        <v>0</v>
      </c>
      <c r="CU95" s="3">
        <f t="shared" si="94"/>
        <v>0</v>
      </c>
      <c r="CV95" s="3"/>
      <c r="CW95" s="3"/>
      <c r="CX95" s="3"/>
      <c r="DD95">
        <f t="shared" si="275"/>
        <v>4.5000000000000005E-2</v>
      </c>
      <c r="DE95">
        <f t="shared" si="276"/>
        <v>0</v>
      </c>
      <c r="DF95">
        <f t="shared" si="277"/>
        <v>0</v>
      </c>
      <c r="DG95">
        <f t="shared" si="278"/>
        <v>0</v>
      </c>
      <c r="DH95">
        <f t="shared" si="279"/>
        <v>0</v>
      </c>
      <c r="DI95">
        <f t="shared" si="280"/>
        <v>0</v>
      </c>
      <c r="DJ95">
        <f t="shared" si="281"/>
        <v>0</v>
      </c>
      <c r="DK95">
        <f t="shared" si="282"/>
        <v>0</v>
      </c>
      <c r="DL95">
        <f t="shared" si="283"/>
        <v>0</v>
      </c>
      <c r="DN95">
        <f t="shared" si="284"/>
        <v>0</v>
      </c>
      <c r="DP95">
        <f t="shared" si="285"/>
        <v>0</v>
      </c>
      <c r="DQ95">
        <f t="shared" si="286"/>
        <v>0</v>
      </c>
      <c r="DR95">
        <f t="shared" si="287"/>
        <v>0</v>
      </c>
      <c r="DU95">
        <f t="shared" si="288"/>
        <v>0</v>
      </c>
    </row>
    <row r="96" spans="1:125" ht="17.25" x14ac:dyDescent="0.3">
      <c r="A96" s="72">
        <f t="shared" si="107"/>
        <v>0</v>
      </c>
      <c r="B96" s="113"/>
      <c r="C96" s="28"/>
      <c r="D96" s="118"/>
      <c r="E96" s="72"/>
      <c r="F96" s="113"/>
      <c r="G96" s="113"/>
      <c r="H96" s="113"/>
      <c r="I96" s="313"/>
      <c r="J96" s="142"/>
      <c r="K96" s="213"/>
      <c r="L96" s="72"/>
      <c r="M96" s="27"/>
      <c r="N96" s="118"/>
      <c r="O96" s="72"/>
      <c r="P96" s="72"/>
      <c r="Q96" s="72"/>
      <c r="R96" s="72"/>
      <c r="S96" s="222"/>
      <c r="T96" s="290"/>
      <c r="U96" s="290"/>
      <c r="V96" s="290"/>
      <c r="W96" s="48"/>
      <c r="X96" s="16"/>
      <c r="Y96" s="14"/>
      <c r="Z96" s="16"/>
      <c r="AA96" s="16"/>
      <c r="AB96" s="181"/>
      <c r="AC96" s="260"/>
      <c r="AD96" s="264"/>
      <c r="AE96" s="24"/>
      <c r="AF96" s="258"/>
      <c r="AG96" s="48"/>
      <c r="AH96" s="48"/>
      <c r="AI96" s="102"/>
      <c r="AJ96" s="27"/>
      <c r="AL96" s="28"/>
      <c r="AM96" s="25"/>
      <c r="AN96" s="56"/>
      <c r="AO96" s="251"/>
      <c r="AP96" s="194"/>
      <c r="AQ96" s="208"/>
      <c r="AR96" s="203"/>
      <c r="AS96" s="189"/>
      <c r="AT96" s="198"/>
      <c r="AU96" s="199"/>
      <c r="AV96" s="222"/>
      <c r="AW96" s="118"/>
      <c r="AX96" s="103"/>
      <c r="AY96" s="192"/>
      <c r="AZ96" s="192"/>
      <c r="BA96" s="192"/>
      <c r="BB96" s="113"/>
      <c r="BC96" s="113"/>
      <c r="BD96" s="270"/>
      <c r="BE96" s="228"/>
      <c r="BF96" s="28"/>
      <c r="BG96" s="28"/>
      <c r="BH96" s="118"/>
      <c r="BI96" s="72"/>
      <c r="BJ96" s="73"/>
      <c r="BK96" s="230"/>
      <c r="BL96" s="3">
        <f t="shared" si="86"/>
        <v>0</v>
      </c>
      <c r="BM96" s="3">
        <f t="shared" si="87"/>
        <v>0</v>
      </c>
      <c r="BN96" s="10">
        <f t="shared" si="303"/>
        <v>0</v>
      </c>
      <c r="BO96" s="3">
        <f t="shared" si="304"/>
        <v>0</v>
      </c>
      <c r="BP96" s="3">
        <f t="shared" si="305"/>
        <v>0</v>
      </c>
      <c r="BQ96" s="3">
        <f t="shared" si="306"/>
        <v>0</v>
      </c>
      <c r="BR96" s="3">
        <f t="shared" si="307"/>
        <v>0</v>
      </c>
      <c r="BS96" s="3">
        <f t="shared" si="308"/>
        <v>0</v>
      </c>
      <c r="BT96" s="3"/>
      <c r="BU96" s="3">
        <f t="shared" si="292"/>
        <v>0</v>
      </c>
      <c r="BV96" s="3">
        <f t="shared" si="293"/>
        <v>0</v>
      </c>
      <c r="BW96" s="3">
        <f t="shared" si="294"/>
        <v>0</v>
      </c>
      <c r="BX96" s="3">
        <f t="shared" si="295"/>
        <v>0</v>
      </c>
      <c r="BY96" s="3">
        <f t="shared" si="296"/>
        <v>0</v>
      </c>
      <c r="BZ96" s="3">
        <f t="shared" si="297"/>
        <v>0</v>
      </c>
      <c r="CA96" s="3">
        <f t="shared" si="309"/>
        <v>0</v>
      </c>
      <c r="CB96" s="3">
        <f t="shared" si="298"/>
        <v>0</v>
      </c>
      <c r="CC96" s="3">
        <f t="shared" si="299"/>
        <v>0</v>
      </c>
      <c r="CD96" s="3">
        <f t="shared" si="300"/>
        <v>0</v>
      </c>
      <c r="CE96" s="3">
        <f t="shared" si="301"/>
        <v>0</v>
      </c>
      <c r="CF96" s="3">
        <f t="shared" si="302"/>
        <v>0</v>
      </c>
      <c r="CG96" s="3">
        <f t="shared" si="88"/>
        <v>0</v>
      </c>
      <c r="CH96" s="3">
        <f t="shared" si="89"/>
        <v>0</v>
      </c>
      <c r="CI96" s="3"/>
      <c r="CJ96" s="3">
        <f t="shared" si="310"/>
        <v>0</v>
      </c>
      <c r="CK96" s="3">
        <f t="shared" si="311"/>
        <v>12.96</v>
      </c>
      <c r="CL96" s="3">
        <f t="shared" si="90"/>
        <v>0</v>
      </c>
      <c r="CM96" s="3">
        <f t="shared" si="91"/>
        <v>0</v>
      </c>
      <c r="CN96" s="10">
        <f t="shared" si="312"/>
        <v>0</v>
      </c>
      <c r="CO96" s="3">
        <f t="shared" si="313"/>
        <v>0</v>
      </c>
      <c r="CP96" s="3">
        <f t="shared" si="92"/>
        <v>0</v>
      </c>
      <c r="CQ96" s="3">
        <f t="shared" si="93"/>
        <v>1</v>
      </c>
      <c r="CR96" s="3">
        <f t="shared" si="315"/>
        <v>0</v>
      </c>
      <c r="CS96" s="3"/>
      <c r="CT96" s="3">
        <f t="shared" si="314"/>
        <v>0</v>
      </c>
      <c r="CU96" s="3">
        <f t="shared" si="94"/>
        <v>0</v>
      </c>
      <c r="CV96" s="3"/>
      <c r="CW96" s="3"/>
      <c r="CX96" s="3"/>
      <c r="DD96">
        <f t="shared" si="275"/>
        <v>4.5000000000000005E-2</v>
      </c>
      <c r="DE96">
        <f t="shared" si="276"/>
        <v>0</v>
      </c>
      <c r="DF96">
        <f t="shared" si="277"/>
        <v>0</v>
      </c>
      <c r="DG96">
        <f t="shared" si="278"/>
        <v>0</v>
      </c>
      <c r="DH96">
        <f t="shared" si="279"/>
        <v>0</v>
      </c>
      <c r="DI96">
        <f t="shared" si="280"/>
        <v>0</v>
      </c>
      <c r="DJ96">
        <f t="shared" si="281"/>
        <v>0</v>
      </c>
      <c r="DK96">
        <f t="shared" si="282"/>
        <v>0</v>
      </c>
      <c r="DL96">
        <f t="shared" si="283"/>
        <v>0</v>
      </c>
      <c r="DN96">
        <f t="shared" si="284"/>
        <v>0</v>
      </c>
      <c r="DP96">
        <f t="shared" si="285"/>
        <v>0</v>
      </c>
      <c r="DQ96">
        <f t="shared" si="286"/>
        <v>0</v>
      </c>
      <c r="DR96">
        <f t="shared" si="287"/>
        <v>0</v>
      </c>
      <c r="DU96">
        <f t="shared" si="288"/>
        <v>0</v>
      </c>
    </row>
    <row r="97" spans="1:125" ht="17.25" x14ac:dyDescent="0.3">
      <c r="A97" s="72">
        <f t="shared" si="107"/>
        <v>0</v>
      </c>
      <c r="B97" s="113"/>
      <c r="C97" s="28"/>
      <c r="D97" s="118"/>
      <c r="E97" s="72"/>
      <c r="F97" s="113"/>
      <c r="G97" s="113"/>
      <c r="H97" s="113"/>
      <c r="I97" s="314"/>
      <c r="J97" s="142"/>
      <c r="K97" s="213"/>
      <c r="L97" s="72"/>
      <c r="M97" s="27"/>
      <c r="N97" s="118"/>
      <c r="O97" s="72"/>
      <c r="P97" s="72"/>
      <c r="Q97" s="72"/>
      <c r="R97" s="72"/>
      <c r="S97" s="222"/>
      <c r="T97" s="290"/>
      <c r="U97" s="290"/>
      <c r="V97" s="290"/>
      <c r="W97" s="48"/>
      <c r="X97" s="16"/>
      <c r="Y97" s="14"/>
      <c r="Z97" s="16"/>
      <c r="AA97" s="16"/>
      <c r="AB97" s="181"/>
      <c r="AC97" s="260"/>
      <c r="AD97" s="264"/>
      <c r="AE97" s="24"/>
      <c r="AF97" s="258"/>
      <c r="AG97" s="48"/>
      <c r="AH97" s="48"/>
      <c r="AI97" s="102"/>
      <c r="AJ97" s="27"/>
      <c r="AL97" s="28"/>
      <c r="AM97" s="25"/>
      <c r="AN97" s="56"/>
      <c r="AO97" s="209"/>
      <c r="AP97" s="194"/>
      <c r="AQ97" s="208"/>
      <c r="AR97" s="203"/>
      <c r="AS97" s="189"/>
      <c r="AT97" s="198"/>
      <c r="AU97" s="199"/>
      <c r="AV97" s="222"/>
      <c r="AW97" s="118"/>
      <c r="AX97" s="103"/>
      <c r="AY97" s="192"/>
      <c r="AZ97" s="192"/>
      <c r="BA97" s="192"/>
      <c r="BB97" s="113"/>
      <c r="BC97" s="113"/>
      <c r="BD97" s="270"/>
      <c r="BE97" s="228"/>
      <c r="BF97" s="28"/>
      <c r="BG97" s="28"/>
      <c r="BH97" s="118"/>
      <c r="BI97" s="72"/>
      <c r="BJ97" s="73"/>
      <c r="BK97" s="230"/>
      <c r="BL97" s="3">
        <f t="shared" si="86"/>
        <v>0</v>
      </c>
      <c r="BM97" s="3">
        <f t="shared" si="87"/>
        <v>0</v>
      </c>
      <c r="BN97" s="10">
        <f t="shared" si="303"/>
        <v>0</v>
      </c>
      <c r="BO97" s="3">
        <f t="shared" si="304"/>
        <v>0</v>
      </c>
      <c r="BP97" s="3">
        <f t="shared" si="305"/>
        <v>0</v>
      </c>
      <c r="BQ97" s="3">
        <f t="shared" si="306"/>
        <v>0</v>
      </c>
      <c r="BR97" s="3">
        <f t="shared" si="307"/>
        <v>0</v>
      </c>
      <c r="BS97" s="3">
        <f t="shared" si="308"/>
        <v>0</v>
      </c>
      <c r="BT97" s="3"/>
      <c r="BU97" s="3">
        <f t="shared" si="292"/>
        <v>0</v>
      </c>
      <c r="BV97" s="3">
        <f t="shared" si="293"/>
        <v>0</v>
      </c>
      <c r="BW97" s="3">
        <f t="shared" si="294"/>
        <v>0</v>
      </c>
      <c r="BX97" s="3">
        <f t="shared" si="295"/>
        <v>0</v>
      </c>
      <c r="BY97" s="3">
        <f t="shared" si="296"/>
        <v>0</v>
      </c>
      <c r="BZ97" s="3">
        <f t="shared" si="297"/>
        <v>0</v>
      </c>
      <c r="CA97" s="3">
        <f t="shared" si="309"/>
        <v>0</v>
      </c>
      <c r="CB97" s="3">
        <f t="shared" si="298"/>
        <v>0</v>
      </c>
      <c r="CC97" s="3">
        <f t="shared" si="299"/>
        <v>0</v>
      </c>
      <c r="CD97" s="3">
        <f t="shared" si="300"/>
        <v>0</v>
      </c>
      <c r="CE97" s="3">
        <f t="shared" si="301"/>
        <v>0</v>
      </c>
      <c r="CF97" s="3">
        <f t="shared" si="302"/>
        <v>0</v>
      </c>
      <c r="CG97" s="3">
        <f t="shared" si="88"/>
        <v>0</v>
      </c>
      <c r="CH97" s="3">
        <f t="shared" si="89"/>
        <v>0</v>
      </c>
      <c r="CI97" s="3"/>
      <c r="CJ97" s="3">
        <f t="shared" si="310"/>
        <v>0</v>
      </c>
      <c r="CK97" s="3">
        <f t="shared" si="311"/>
        <v>12.96</v>
      </c>
      <c r="CL97" s="3">
        <f t="shared" si="90"/>
        <v>0</v>
      </c>
      <c r="CM97" s="3">
        <f t="shared" si="91"/>
        <v>0</v>
      </c>
      <c r="CN97" s="10">
        <f t="shared" si="312"/>
        <v>0</v>
      </c>
      <c r="CO97" s="3">
        <f t="shared" si="313"/>
        <v>0</v>
      </c>
      <c r="CP97" s="3">
        <f t="shared" si="92"/>
        <v>0</v>
      </c>
      <c r="CQ97" s="3">
        <f t="shared" si="93"/>
        <v>1</v>
      </c>
      <c r="CR97" s="3">
        <f t="shared" si="315"/>
        <v>0</v>
      </c>
      <c r="CS97" s="3"/>
      <c r="CT97" s="3">
        <f t="shared" si="314"/>
        <v>0</v>
      </c>
      <c r="CU97" s="3">
        <f t="shared" si="94"/>
        <v>0</v>
      </c>
      <c r="CV97" s="3"/>
      <c r="CW97" s="3"/>
      <c r="CX97" s="3"/>
      <c r="DD97">
        <f t="shared" si="275"/>
        <v>4.5000000000000005E-2</v>
      </c>
      <c r="DE97">
        <f t="shared" si="276"/>
        <v>0</v>
      </c>
      <c r="DF97">
        <f t="shared" si="277"/>
        <v>0</v>
      </c>
      <c r="DG97">
        <f t="shared" si="278"/>
        <v>0</v>
      </c>
      <c r="DH97">
        <f t="shared" si="279"/>
        <v>0</v>
      </c>
      <c r="DI97">
        <f t="shared" si="280"/>
        <v>0</v>
      </c>
      <c r="DJ97">
        <f t="shared" si="281"/>
        <v>0</v>
      </c>
      <c r="DK97">
        <f t="shared" si="282"/>
        <v>0</v>
      </c>
      <c r="DL97">
        <f t="shared" si="283"/>
        <v>0</v>
      </c>
      <c r="DN97">
        <f t="shared" si="284"/>
        <v>0</v>
      </c>
      <c r="DP97">
        <f t="shared" si="285"/>
        <v>0</v>
      </c>
      <c r="DQ97">
        <f t="shared" si="286"/>
        <v>0</v>
      </c>
      <c r="DR97">
        <f t="shared" si="287"/>
        <v>0</v>
      </c>
      <c r="DU97">
        <f t="shared" si="288"/>
        <v>0</v>
      </c>
    </row>
    <row r="98" spans="1:125" ht="17.25" x14ac:dyDescent="0.3">
      <c r="A98" s="72">
        <f t="shared" si="107"/>
        <v>0</v>
      </c>
      <c r="B98" s="113"/>
      <c r="C98" s="28"/>
      <c r="D98" s="118"/>
      <c r="E98" s="72"/>
      <c r="F98" s="113"/>
      <c r="G98" s="113"/>
      <c r="H98" s="113"/>
      <c r="I98" s="314"/>
      <c r="J98" s="142"/>
      <c r="K98" s="124"/>
      <c r="L98" s="72"/>
      <c r="M98" s="27"/>
      <c r="N98" s="118"/>
      <c r="O98" s="72"/>
      <c r="P98" s="72"/>
      <c r="Q98" s="72"/>
      <c r="R98" s="72"/>
      <c r="S98" s="222"/>
      <c r="T98" s="290"/>
      <c r="U98" s="290"/>
      <c r="V98" s="290"/>
      <c r="W98" s="48"/>
      <c r="X98" s="16"/>
      <c r="Y98" s="16"/>
      <c r="Z98" s="16"/>
      <c r="AA98" s="16"/>
      <c r="AB98" s="181"/>
      <c r="AC98" s="260"/>
      <c r="AD98" s="264"/>
      <c r="AE98" s="24"/>
      <c r="AF98" s="258"/>
      <c r="AG98" s="48"/>
      <c r="AH98" s="48"/>
      <c r="AI98" s="102"/>
      <c r="AJ98" s="27"/>
      <c r="AL98" s="28"/>
      <c r="AM98" s="25"/>
      <c r="AN98" s="56"/>
      <c r="AO98" s="209"/>
      <c r="AP98" s="194"/>
      <c r="AQ98" s="208"/>
      <c r="AR98" s="203"/>
      <c r="AS98" s="189"/>
      <c r="AT98" s="198"/>
      <c r="AU98" s="199"/>
      <c r="AV98" s="222"/>
      <c r="AW98" s="118"/>
      <c r="AX98" s="103"/>
      <c r="AY98" s="192"/>
      <c r="AZ98" s="192"/>
      <c r="BA98" s="192"/>
      <c r="BB98" s="113"/>
      <c r="BC98" s="113"/>
      <c r="BD98" s="270"/>
      <c r="BE98" s="228"/>
      <c r="BF98" s="28"/>
      <c r="BG98" s="28"/>
      <c r="BH98" s="118"/>
      <c r="BI98" s="72"/>
      <c r="BJ98" s="73"/>
      <c r="BK98" s="230"/>
      <c r="BL98" s="3">
        <f t="shared" si="86"/>
        <v>0</v>
      </c>
      <c r="BM98" s="3">
        <f t="shared" si="87"/>
        <v>0</v>
      </c>
      <c r="BN98" s="10">
        <f t="shared" si="303"/>
        <v>0</v>
      </c>
      <c r="BO98" s="3">
        <f t="shared" si="304"/>
        <v>0</v>
      </c>
      <c r="BP98" s="3">
        <f t="shared" si="305"/>
        <v>0</v>
      </c>
      <c r="BQ98" s="3">
        <f t="shared" si="306"/>
        <v>0</v>
      </c>
      <c r="BR98" s="3">
        <f t="shared" si="307"/>
        <v>0</v>
      </c>
      <c r="BS98" s="3">
        <f t="shared" si="308"/>
        <v>0</v>
      </c>
      <c r="BT98" s="3"/>
      <c r="BU98" s="3">
        <f t="shared" si="292"/>
        <v>0</v>
      </c>
      <c r="BV98" s="3">
        <f t="shared" si="293"/>
        <v>0</v>
      </c>
      <c r="BW98" s="3">
        <f t="shared" si="294"/>
        <v>0</v>
      </c>
      <c r="BX98" s="3">
        <f t="shared" si="295"/>
        <v>0</v>
      </c>
      <c r="BY98" s="3">
        <f t="shared" si="296"/>
        <v>0</v>
      </c>
      <c r="BZ98" s="3">
        <f t="shared" si="297"/>
        <v>0</v>
      </c>
      <c r="CA98" s="3">
        <f t="shared" si="309"/>
        <v>0</v>
      </c>
      <c r="CB98" s="3">
        <f t="shared" si="298"/>
        <v>0</v>
      </c>
      <c r="CC98" s="3">
        <f t="shared" si="299"/>
        <v>0</v>
      </c>
      <c r="CD98" s="3">
        <f t="shared" si="300"/>
        <v>0</v>
      </c>
      <c r="CE98" s="3">
        <f t="shared" si="301"/>
        <v>0</v>
      </c>
      <c r="CF98" s="3">
        <f t="shared" si="302"/>
        <v>0</v>
      </c>
      <c r="CG98" s="3">
        <f t="shared" si="88"/>
        <v>0</v>
      </c>
      <c r="CH98" s="3">
        <f t="shared" si="89"/>
        <v>0</v>
      </c>
      <c r="CI98" s="3"/>
      <c r="CJ98" s="3">
        <f t="shared" si="310"/>
        <v>0</v>
      </c>
      <c r="CK98" s="3">
        <f t="shared" si="311"/>
        <v>12.96</v>
      </c>
      <c r="CL98" s="3">
        <f t="shared" si="90"/>
        <v>0</v>
      </c>
      <c r="CM98" s="3">
        <f t="shared" si="91"/>
        <v>0</v>
      </c>
      <c r="CN98" s="10">
        <f t="shared" si="312"/>
        <v>0</v>
      </c>
      <c r="CO98" s="3">
        <f t="shared" si="313"/>
        <v>0</v>
      </c>
      <c r="CP98" s="3">
        <f t="shared" si="92"/>
        <v>0</v>
      </c>
      <c r="CQ98" s="3">
        <f t="shared" si="93"/>
        <v>1</v>
      </c>
      <c r="CR98" s="3">
        <f t="shared" si="315"/>
        <v>0</v>
      </c>
      <c r="CS98" s="3"/>
      <c r="CT98" s="3">
        <f t="shared" si="314"/>
        <v>0</v>
      </c>
      <c r="CU98" s="3">
        <f t="shared" si="94"/>
        <v>0</v>
      </c>
      <c r="CV98" s="3"/>
      <c r="CW98" s="3"/>
      <c r="CX98" s="3"/>
      <c r="DD98">
        <f t="shared" si="275"/>
        <v>4.5000000000000005E-2</v>
      </c>
      <c r="DE98">
        <f t="shared" si="276"/>
        <v>0</v>
      </c>
      <c r="DF98">
        <f t="shared" si="277"/>
        <v>0</v>
      </c>
      <c r="DG98">
        <f t="shared" si="278"/>
        <v>0</v>
      </c>
      <c r="DH98">
        <f t="shared" si="279"/>
        <v>0</v>
      </c>
      <c r="DI98">
        <f t="shared" si="280"/>
        <v>0</v>
      </c>
      <c r="DJ98">
        <f t="shared" si="281"/>
        <v>0</v>
      </c>
      <c r="DK98">
        <f t="shared" si="282"/>
        <v>0</v>
      </c>
      <c r="DL98">
        <f t="shared" si="283"/>
        <v>0</v>
      </c>
      <c r="DN98">
        <f t="shared" si="284"/>
        <v>0</v>
      </c>
      <c r="DP98">
        <f t="shared" si="285"/>
        <v>0</v>
      </c>
      <c r="DQ98">
        <f t="shared" si="286"/>
        <v>0</v>
      </c>
      <c r="DR98">
        <f t="shared" si="287"/>
        <v>0</v>
      </c>
      <c r="DU98">
        <f t="shared" si="288"/>
        <v>0</v>
      </c>
    </row>
    <row r="99" spans="1:125" ht="17.25" x14ac:dyDescent="0.3">
      <c r="A99" s="72">
        <f t="shared" si="107"/>
        <v>0</v>
      </c>
      <c r="B99" s="113"/>
      <c r="C99" s="28"/>
      <c r="D99" s="118"/>
      <c r="E99" s="72"/>
      <c r="F99" s="113"/>
      <c r="G99" s="113"/>
      <c r="H99" s="113"/>
      <c r="I99" s="314"/>
      <c r="J99" s="142"/>
      <c r="K99" s="124"/>
      <c r="L99" s="72"/>
      <c r="M99" s="27"/>
      <c r="N99" s="118"/>
      <c r="O99" s="72"/>
      <c r="P99" s="72"/>
      <c r="Q99" s="72"/>
      <c r="R99" s="72"/>
      <c r="S99" s="222"/>
      <c r="T99" s="290"/>
      <c r="U99" s="290"/>
      <c r="V99" s="290"/>
      <c r="W99" s="48"/>
      <c r="X99" s="16"/>
      <c r="Y99" s="16"/>
      <c r="Z99" s="16"/>
      <c r="AA99" s="16"/>
      <c r="AB99" s="181"/>
      <c r="AC99" s="260"/>
      <c r="AD99" s="264"/>
      <c r="AE99" s="24"/>
      <c r="AF99" s="258"/>
      <c r="AG99" s="48"/>
      <c r="AH99" s="48"/>
      <c r="AI99" s="102"/>
      <c r="AJ99" s="27"/>
      <c r="AL99" s="28"/>
      <c r="AM99" s="25"/>
      <c r="AN99" s="56"/>
      <c r="AO99" s="209"/>
      <c r="AP99" s="194"/>
      <c r="AQ99" s="208"/>
      <c r="AR99" s="203"/>
      <c r="AS99" s="189"/>
      <c r="AT99" s="198"/>
      <c r="AU99" s="199"/>
      <c r="AV99" s="222"/>
      <c r="AW99" s="118"/>
      <c r="AX99" s="103"/>
      <c r="AY99" s="192"/>
      <c r="AZ99" s="192"/>
      <c r="BA99" s="192"/>
      <c r="BB99" s="113"/>
      <c r="BC99" s="113"/>
      <c r="BD99" s="270"/>
      <c r="BE99" s="228"/>
      <c r="BF99" s="28"/>
      <c r="BG99" s="28"/>
      <c r="BH99" s="118"/>
      <c r="BI99" s="72"/>
      <c r="BJ99" s="73"/>
      <c r="BK99" s="230"/>
      <c r="BL99" s="3">
        <f t="shared" ref="BL99:BL102" si="316">IF(AE99="ANO",1,0)</f>
        <v>0</v>
      </c>
      <c r="BM99" s="3">
        <f t="shared" ref="BM99:BM102" si="317">IF(AI99="ANO",1,0)</f>
        <v>0</v>
      </c>
      <c r="BN99" s="10">
        <f t="shared" si="303"/>
        <v>0</v>
      </c>
      <c r="BO99" s="3">
        <f t="shared" si="304"/>
        <v>0</v>
      </c>
      <c r="BP99" s="3">
        <f t="shared" si="305"/>
        <v>0</v>
      </c>
      <c r="BQ99" s="3">
        <f t="shared" si="306"/>
        <v>0</v>
      </c>
      <c r="BR99" s="3">
        <f t="shared" si="307"/>
        <v>0</v>
      </c>
      <c r="BS99" s="3">
        <f t="shared" si="308"/>
        <v>0</v>
      </c>
      <c r="BT99" s="3"/>
      <c r="BU99" s="3">
        <f t="shared" si="292"/>
        <v>0</v>
      </c>
      <c r="BV99" s="3">
        <f t="shared" si="293"/>
        <v>0</v>
      </c>
      <c r="BW99" s="3">
        <f t="shared" si="294"/>
        <v>0</v>
      </c>
      <c r="BX99" s="3">
        <f t="shared" si="295"/>
        <v>0</v>
      </c>
      <c r="BY99" s="3">
        <f t="shared" si="296"/>
        <v>0</v>
      </c>
      <c r="BZ99" s="3">
        <f t="shared" si="297"/>
        <v>0</v>
      </c>
      <c r="CA99" s="3">
        <f t="shared" si="309"/>
        <v>0</v>
      </c>
      <c r="CB99" s="3">
        <f t="shared" si="298"/>
        <v>0</v>
      </c>
      <c r="CC99" s="3">
        <f t="shared" si="299"/>
        <v>0</v>
      </c>
      <c r="CD99" s="3">
        <f t="shared" si="300"/>
        <v>0</v>
      </c>
      <c r="CE99" s="3">
        <f t="shared" si="301"/>
        <v>0</v>
      </c>
      <c r="CF99" s="3">
        <f t="shared" si="302"/>
        <v>0</v>
      </c>
      <c r="CG99" s="3">
        <f t="shared" ref="CG99:CG102" si="318">IF(AL99="ANO",1,0)</f>
        <v>0</v>
      </c>
      <c r="CH99" s="3">
        <f t="shared" ref="CH99:CH102" si="319">IF(AO99="ANO",1,0)</f>
        <v>0</v>
      </c>
      <c r="CI99" s="3"/>
      <c r="CJ99" s="3">
        <f t="shared" si="310"/>
        <v>0</v>
      </c>
      <c r="CK99" s="3">
        <f t="shared" si="311"/>
        <v>12.96</v>
      </c>
      <c r="CL99" s="3">
        <f t="shared" ref="CL99:CL102" si="320">CJ99*CK99</f>
        <v>0</v>
      </c>
      <c r="CM99" s="3">
        <f t="shared" ref="CM99:CM102" si="321">SQRT(CL99)</f>
        <v>0</v>
      </c>
      <c r="CN99" s="10">
        <f t="shared" si="312"/>
        <v>0</v>
      </c>
      <c r="CO99" s="3">
        <f t="shared" si="313"/>
        <v>0</v>
      </c>
      <c r="CP99" s="3">
        <f t="shared" ref="CP99:CP102" si="322">CO99*CQ99</f>
        <v>0</v>
      </c>
      <c r="CQ99" s="3">
        <f t="shared" ref="CQ99:CQ102" si="323">IF(AA99="nástupiště",CR99,1)</f>
        <v>1</v>
      </c>
      <c r="CR99" s="3">
        <f t="shared" si="315"/>
        <v>0</v>
      </c>
      <c r="CS99" s="3"/>
      <c r="CT99" s="3">
        <f t="shared" si="314"/>
        <v>0</v>
      </c>
      <c r="CU99" s="3">
        <f t="shared" ref="CU99:CU102" si="324">IF(CT99&gt;0,CT99,0)</f>
        <v>0</v>
      </c>
      <c r="CV99" s="3"/>
      <c r="CW99" s="3"/>
      <c r="CX99" s="3"/>
      <c r="DD99">
        <f t="shared" si="275"/>
        <v>4.5000000000000005E-2</v>
      </c>
      <c r="DE99">
        <f t="shared" si="276"/>
        <v>0</v>
      </c>
      <c r="DF99">
        <f t="shared" si="277"/>
        <v>0</v>
      </c>
      <c r="DG99">
        <f t="shared" si="278"/>
        <v>0</v>
      </c>
      <c r="DH99">
        <f t="shared" si="279"/>
        <v>0</v>
      </c>
      <c r="DI99">
        <f t="shared" si="280"/>
        <v>0</v>
      </c>
      <c r="DJ99">
        <f t="shared" si="281"/>
        <v>0</v>
      </c>
      <c r="DK99">
        <f t="shared" si="282"/>
        <v>0</v>
      </c>
      <c r="DL99">
        <f t="shared" si="283"/>
        <v>0</v>
      </c>
      <c r="DN99">
        <f t="shared" si="284"/>
        <v>0</v>
      </c>
      <c r="DP99">
        <f t="shared" si="285"/>
        <v>0</v>
      </c>
      <c r="DQ99">
        <f t="shared" si="286"/>
        <v>0</v>
      </c>
      <c r="DR99">
        <f t="shared" si="287"/>
        <v>0</v>
      </c>
      <c r="DU99">
        <f t="shared" si="288"/>
        <v>0</v>
      </c>
    </row>
    <row r="100" spans="1:125" ht="17.25" x14ac:dyDescent="0.3">
      <c r="A100" s="72">
        <f t="shared" si="4"/>
        <v>0</v>
      </c>
      <c r="B100" s="113"/>
      <c r="C100" s="28"/>
      <c r="D100" s="118"/>
      <c r="E100" s="72"/>
      <c r="F100" s="113"/>
      <c r="G100" s="113"/>
      <c r="H100" s="113"/>
      <c r="I100" s="314"/>
      <c r="J100" s="142"/>
      <c r="K100" s="124"/>
      <c r="L100" s="72"/>
      <c r="M100" s="27"/>
      <c r="N100" s="118"/>
      <c r="O100" s="72"/>
      <c r="P100" s="72"/>
      <c r="Q100" s="72"/>
      <c r="R100" s="72"/>
      <c r="S100" s="222"/>
      <c r="T100" s="290"/>
      <c r="U100" s="290"/>
      <c r="V100" s="290"/>
      <c r="W100" s="48"/>
      <c r="X100" s="16"/>
      <c r="Y100" s="16"/>
      <c r="Z100" s="16"/>
      <c r="AA100" s="16"/>
      <c r="AB100" s="181"/>
      <c r="AC100" s="260"/>
      <c r="AD100" s="264"/>
      <c r="AE100" s="24"/>
      <c r="AF100" s="258"/>
      <c r="AG100" s="48"/>
      <c r="AH100" s="48"/>
      <c r="AI100" s="102"/>
      <c r="AJ100" s="27"/>
      <c r="AL100" s="28"/>
      <c r="AM100" s="25"/>
      <c r="AN100" s="56"/>
      <c r="AO100" s="209"/>
      <c r="AP100" s="194"/>
      <c r="AQ100" s="208"/>
      <c r="AR100" s="203"/>
      <c r="AS100" s="189"/>
      <c r="AT100" s="198"/>
      <c r="AU100" s="199"/>
      <c r="AV100" s="222"/>
      <c r="AW100" s="118"/>
      <c r="AX100" s="103"/>
      <c r="AY100" s="192"/>
      <c r="AZ100" s="192"/>
      <c r="BA100" s="192"/>
      <c r="BB100" s="113"/>
      <c r="BC100" s="113"/>
      <c r="BD100" s="270"/>
      <c r="BE100" s="228"/>
      <c r="BF100" s="28"/>
      <c r="BG100" s="28"/>
      <c r="BH100" s="118"/>
      <c r="BI100" s="72"/>
      <c r="BJ100" s="73"/>
      <c r="BK100" s="230"/>
      <c r="BL100" s="3">
        <f t="shared" si="316"/>
        <v>0</v>
      </c>
      <c r="BM100" s="3">
        <f t="shared" si="317"/>
        <v>0</v>
      </c>
      <c r="BN100" s="10">
        <f t="shared" si="303"/>
        <v>0</v>
      </c>
      <c r="BO100" s="3">
        <f t="shared" si="304"/>
        <v>0</v>
      </c>
      <c r="BP100" s="3">
        <f t="shared" si="305"/>
        <v>0</v>
      </c>
      <c r="BQ100" s="3">
        <f t="shared" si="306"/>
        <v>0</v>
      </c>
      <c r="BR100" s="3">
        <f t="shared" si="307"/>
        <v>0</v>
      </c>
      <c r="BS100" s="3">
        <f t="shared" si="308"/>
        <v>0</v>
      </c>
      <c r="BT100" s="3"/>
      <c r="BU100" s="3">
        <f t="shared" si="292"/>
        <v>0</v>
      </c>
      <c r="BV100" s="3">
        <f t="shared" si="293"/>
        <v>0</v>
      </c>
      <c r="BW100" s="3">
        <f t="shared" si="294"/>
        <v>0</v>
      </c>
      <c r="BX100" s="3">
        <f t="shared" si="295"/>
        <v>0</v>
      </c>
      <c r="BY100" s="3">
        <f t="shared" si="296"/>
        <v>0</v>
      </c>
      <c r="BZ100" s="3">
        <f t="shared" si="297"/>
        <v>0</v>
      </c>
      <c r="CA100" s="3">
        <f t="shared" si="309"/>
        <v>0</v>
      </c>
      <c r="CB100" s="3">
        <f t="shared" si="298"/>
        <v>0</v>
      </c>
      <c r="CC100" s="3">
        <f t="shared" si="299"/>
        <v>0</v>
      </c>
      <c r="CD100" s="3">
        <f t="shared" si="300"/>
        <v>0</v>
      </c>
      <c r="CE100" s="3">
        <f t="shared" si="301"/>
        <v>0</v>
      </c>
      <c r="CF100" s="3">
        <f t="shared" si="302"/>
        <v>0</v>
      </c>
      <c r="CG100" s="3">
        <f t="shared" si="318"/>
        <v>0</v>
      </c>
      <c r="CH100" s="3">
        <f t="shared" si="319"/>
        <v>0</v>
      </c>
      <c r="CI100" s="3"/>
      <c r="CJ100" s="3">
        <f t="shared" si="310"/>
        <v>0</v>
      </c>
      <c r="CK100" s="3">
        <f t="shared" si="311"/>
        <v>12.96</v>
      </c>
      <c r="CL100" s="3">
        <f t="shared" si="320"/>
        <v>0</v>
      </c>
      <c r="CM100" s="3">
        <f t="shared" si="321"/>
        <v>0</v>
      </c>
      <c r="CN100" s="10">
        <f t="shared" si="312"/>
        <v>0</v>
      </c>
      <c r="CO100" s="3">
        <f t="shared" si="313"/>
        <v>0</v>
      </c>
      <c r="CP100" s="3">
        <f t="shared" si="322"/>
        <v>0</v>
      </c>
      <c r="CQ100" s="3">
        <f t="shared" si="323"/>
        <v>1</v>
      </c>
      <c r="CR100" s="3">
        <f t="shared" si="315"/>
        <v>0</v>
      </c>
      <c r="CS100" s="3"/>
      <c r="CT100" s="3">
        <f t="shared" si="314"/>
        <v>0</v>
      </c>
      <c r="CU100" s="3">
        <f t="shared" si="324"/>
        <v>0</v>
      </c>
      <c r="CV100" s="3"/>
      <c r="CW100" s="3"/>
      <c r="CX100" s="3"/>
      <c r="DD100">
        <f t="shared" si="275"/>
        <v>4.5000000000000005E-2</v>
      </c>
      <c r="DE100">
        <f t="shared" si="276"/>
        <v>0</v>
      </c>
      <c r="DF100">
        <f t="shared" si="277"/>
        <v>0</v>
      </c>
      <c r="DG100">
        <f t="shared" si="278"/>
        <v>0</v>
      </c>
      <c r="DH100">
        <f t="shared" si="279"/>
        <v>0</v>
      </c>
      <c r="DI100">
        <f t="shared" si="280"/>
        <v>0</v>
      </c>
      <c r="DJ100">
        <f t="shared" si="281"/>
        <v>0</v>
      </c>
      <c r="DK100">
        <f t="shared" si="282"/>
        <v>0</v>
      </c>
      <c r="DL100">
        <f t="shared" si="283"/>
        <v>0</v>
      </c>
      <c r="DN100">
        <f t="shared" si="284"/>
        <v>0</v>
      </c>
      <c r="DP100">
        <f t="shared" si="285"/>
        <v>0</v>
      </c>
      <c r="DQ100">
        <f t="shared" si="286"/>
        <v>0</v>
      </c>
      <c r="DR100">
        <f t="shared" si="287"/>
        <v>0</v>
      </c>
      <c r="DU100">
        <f t="shared" si="288"/>
        <v>0</v>
      </c>
    </row>
    <row r="101" spans="1:125" ht="16.5" thickBot="1" x14ac:dyDescent="0.3">
      <c r="A101" s="60">
        <f t="shared" ref="A101:A102" si="325">N101*O101</f>
        <v>0</v>
      </c>
      <c r="B101" s="61"/>
      <c r="C101" s="60"/>
      <c r="D101" s="61"/>
      <c r="E101" s="61"/>
      <c r="F101" s="61"/>
      <c r="G101" s="61"/>
      <c r="H101" s="61"/>
      <c r="I101" s="60"/>
      <c r="J101" s="144"/>
      <c r="K101" s="324"/>
      <c r="L101" s="85"/>
      <c r="M101" s="68"/>
      <c r="N101" s="221"/>
      <c r="O101" s="85"/>
      <c r="P101" s="85"/>
      <c r="Q101" s="85"/>
      <c r="R101" s="85"/>
      <c r="S101" s="312"/>
      <c r="T101" s="62"/>
      <c r="U101" s="62"/>
      <c r="V101" s="62"/>
      <c r="W101" s="62"/>
      <c r="X101" s="63"/>
      <c r="Y101" s="63"/>
      <c r="Z101" s="63"/>
      <c r="AA101" s="63"/>
      <c r="AB101" s="64"/>
      <c r="AC101" s="62"/>
      <c r="AD101" s="265"/>
      <c r="AE101" s="65"/>
      <c r="AF101" s="66"/>
      <c r="AG101" s="66"/>
      <c r="AH101" s="66"/>
      <c r="AI101" s="67"/>
      <c r="AJ101" s="68"/>
      <c r="AK101" s="61"/>
      <c r="AL101" s="30"/>
      <c r="AM101" s="69"/>
      <c r="AN101" s="70"/>
      <c r="AO101" s="210"/>
      <c r="AP101" s="195"/>
      <c r="AQ101" s="211"/>
      <c r="AR101" s="204"/>
      <c r="AS101" s="70"/>
      <c r="AT101" s="71">
        <f>(M101*1.5)</f>
        <v>0</v>
      </c>
      <c r="AU101" s="223"/>
      <c r="AV101" s="68"/>
      <c r="AW101" s="221"/>
      <c r="AX101" s="85"/>
      <c r="AY101" s="85"/>
      <c r="AZ101" s="85"/>
      <c r="BA101" s="85"/>
      <c r="BB101" s="114"/>
      <c r="BC101" s="114"/>
      <c r="BD101" s="253"/>
      <c r="BE101" s="229"/>
      <c r="BF101" s="30"/>
      <c r="BG101" s="30"/>
      <c r="BH101" s="221"/>
      <c r="BI101" s="85"/>
      <c r="BJ101" s="231"/>
      <c r="BK101" s="232"/>
      <c r="BL101" s="3">
        <f t="shared" si="316"/>
        <v>0</v>
      </c>
      <c r="BM101" s="3">
        <f t="shared" si="317"/>
        <v>0</v>
      </c>
      <c r="BN101" s="10">
        <f t="shared" si="303"/>
        <v>0</v>
      </c>
      <c r="BO101" s="3">
        <f t="shared" si="304"/>
        <v>0</v>
      </c>
      <c r="BP101" s="3">
        <f t="shared" si="305"/>
        <v>0</v>
      </c>
      <c r="BQ101" s="3">
        <f t="shared" si="306"/>
        <v>0</v>
      </c>
      <c r="BR101" s="3">
        <f t="shared" si="307"/>
        <v>0</v>
      </c>
      <c r="BS101" s="3">
        <f t="shared" si="308"/>
        <v>0</v>
      </c>
      <c r="BT101" s="3"/>
      <c r="BU101" s="3">
        <f t="shared" si="292"/>
        <v>0</v>
      </c>
      <c r="BV101" s="3">
        <f t="shared" si="293"/>
        <v>0</v>
      </c>
      <c r="BW101" s="3">
        <f t="shared" si="294"/>
        <v>0</v>
      </c>
      <c r="BX101" s="3">
        <f t="shared" si="295"/>
        <v>0</v>
      </c>
      <c r="BY101" s="3">
        <f t="shared" si="296"/>
        <v>0</v>
      </c>
      <c r="BZ101" s="3">
        <f t="shared" si="297"/>
        <v>0</v>
      </c>
      <c r="CA101" s="3">
        <f t="shared" si="309"/>
        <v>0</v>
      </c>
      <c r="CB101" s="3">
        <f t="shared" si="298"/>
        <v>0</v>
      </c>
      <c r="CC101" s="3">
        <f t="shared" si="299"/>
        <v>0</v>
      </c>
      <c r="CD101" s="3">
        <f t="shared" si="300"/>
        <v>0</v>
      </c>
      <c r="CE101" s="3">
        <f t="shared" si="301"/>
        <v>0</v>
      </c>
      <c r="CF101" s="3">
        <f t="shared" si="302"/>
        <v>0</v>
      </c>
      <c r="CG101" s="3">
        <f t="shared" si="318"/>
        <v>0</v>
      </c>
      <c r="CH101" s="3">
        <f t="shared" si="319"/>
        <v>0</v>
      </c>
      <c r="CI101" s="3"/>
      <c r="CJ101" s="3">
        <f t="shared" si="310"/>
        <v>0</v>
      </c>
      <c r="CK101" s="3">
        <f t="shared" si="311"/>
        <v>12.96</v>
      </c>
      <c r="CL101" s="3">
        <f t="shared" si="320"/>
        <v>0</v>
      </c>
      <c r="CM101" s="3">
        <f t="shared" si="321"/>
        <v>0</v>
      </c>
      <c r="CN101" s="10">
        <f t="shared" si="312"/>
        <v>0</v>
      </c>
      <c r="CO101" s="3">
        <f t="shared" si="313"/>
        <v>0</v>
      </c>
      <c r="CP101" s="3">
        <f t="shared" si="322"/>
        <v>0</v>
      </c>
      <c r="CQ101" s="3">
        <f t="shared" si="323"/>
        <v>1</v>
      </c>
      <c r="CR101" s="3">
        <f t="shared" si="315"/>
        <v>0</v>
      </c>
      <c r="CS101" s="3"/>
      <c r="CT101" s="3">
        <f t="shared" si="314"/>
        <v>0</v>
      </c>
      <c r="CU101" s="3">
        <f t="shared" si="324"/>
        <v>0</v>
      </c>
      <c r="CV101" s="3"/>
      <c r="CW101" s="3"/>
      <c r="CX101" s="3"/>
    </row>
    <row r="102" spans="1:125" ht="16.5" thickBot="1" x14ac:dyDescent="0.3">
      <c r="A102">
        <f t="shared" si="325"/>
        <v>0</v>
      </c>
      <c r="J102" s="8"/>
      <c r="K102" s="10"/>
      <c r="S102" s="34"/>
      <c r="T102" s="34"/>
      <c r="U102" s="34"/>
      <c r="V102" s="34"/>
      <c r="W102" s="34"/>
      <c r="X102" s="35"/>
      <c r="Y102" s="35"/>
      <c r="Z102" s="35"/>
      <c r="AA102" s="35"/>
      <c r="AB102" s="36"/>
      <c r="AC102" s="34"/>
      <c r="AD102" s="266"/>
      <c r="AE102" s="49"/>
      <c r="AF102" s="50"/>
      <c r="AG102" s="50"/>
      <c r="AH102" s="50"/>
      <c r="AI102" s="51"/>
      <c r="AJ102" s="52"/>
      <c r="AL102" s="53"/>
      <c r="AM102" s="54"/>
      <c r="AN102" s="54"/>
      <c r="AO102" s="55"/>
      <c r="AP102" s="194"/>
      <c r="AQ102" s="194"/>
      <c r="AR102" s="56"/>
      <c r="AS102" s="56"/>
      <c r="AT102" s="13">
        <f>(M102*1.5)</f>
        <v>0</v>
      </c>
      <c r="AU102" s="13"/>
      <c r="BJ102" s="3"/>
      <c r="BK102" s="3"/>
      <c r="BL102" s="3">
        <f t="shared" si="316"/>
        <v>0</v>
      </c>
      <c r="BM102" s="3">
        <f t="shared" si="317"/>
        <v>0</v>
      </c>
      <c r="BN102" s="10">
        <f t="shared" si="303"/>
        <v>0</v>
      </c>
      <c r="BO102" s="3">
        <f t="shared" si="304"/>
        <v>0</v>
      </c>
      <c r="BP102" s="3">
        <f t="shared" si="305"/>
        <v>0</v>
      </c>
      <c r="BQ102" s="3">
        <f t="shared" si="306"/>
        <v>0</v>
      </c>
      <c r="BR102" s="3">
        <f t="shared" si="307"/>
        <v>0</v>
      </c>
      <c r="BS102" s="3">
        <f t="shared" si="308"/>
        <v>0</v>
      </c>
      <c r="BT102" s="3"/>
      <c r="BU102" s="3">
        <f t="shared" si="292"/>
        <v>0</v>
      </c>
      <c r="BV102" s="3">
        <f t="shared" si="293"/>
        <v>0</v>
      </c>
      <c r="BW102" s="3">
        <f t="shared" si="294"/>
        <v>0</v>
      </c>
      <c r="BX102" s="3">
        <f t="shared" si="295"/>
        <v>0</v>
      </c>
      <c r="BY102" s="3">
        <f t="shared" si="296"/>
        <v>0</v>
      </c>
      <c r="BZ102" s="3">
        <f t="shared" si="297"/>
        <v>0</v>
      </c>
      <c r="CA102" s="3">
        <f t="shared" si="309"/>
        <v>0</v>
      </c>
      <c r="CB102" s="3">
        <f t="shared" si="298"/>
        <v>0</v>
      </c>
      <c r="CC102" s="3">
        <f t="shared" si="299"/>
        <v>0</v>
      </c>
      <c r="CD102" s="3">
        <f t="shared" si="300"/>
        <v>0</v>
      </c>
      <c r="CE102" s="3">
        <f t="shared" si="301"/>
        <v>0</v>
      </c>
      <c r="CF102" s="3">
        <f t="shared" si="302"/>
        <v>0</v>
      </c>
      <c r="CG102" s="3">
        <f t="shared" si="318"/>
        <v>0</v>
      </c>
      <c r="CH102" s="3">
        <f t="shared" si="319"/>
        <v>0</v>
      </c>
      <c r="CI102" s="3"/>
      <c r="CJ102" s="3">
        <f t="shared" si="310"/>
        <v>0</v>
      </c>
      <c r="CK102" s="3">
        <f t="shared" si="311"/>
        <v>12.96</v>
      </c>
      <c r="CL102" s="3">
        <f t="shared" si="320"/>
        <v>0</v>
      </c>
      <c r="CM102" s="3">
        <f t="shared" si="321"/>
        <v>0</v>
      </c>
      <c r="CN102" s="10">
        <f t="shared" si="312"/>
        <v>0</v>
      </c>
      <c r="CO102" s="3">
        <f t="shared" si="313"/>
        <v>0</v>
      </c>
      <c r="CP102" s="3">
        <f t="shared" si="322"/>
        <v>0</v>
      </c>
      <c r="CQ102" s="3">
        <f t="shared" si="323"/>
        <v>1</v>
      </c>
      <c r="CR102" s="3">
        <f t="shared" si="315"/>
        <v>0</v>
      </c>
      <c r="CS102" s="3"/>
      <c r="CT102" s="3">
        <f t="shared" si="314"/>
        <v>0</v>
      </c>
      <c r="CU102" s="3">
        <f t="shared" si="324"/>
        <v>0</v>
      </c>
      <c r="CV102" s="3"/>
      <c r="CW102" s="3"/>
      <c r="CX102" s="3"/>
    </row>
    <row r="103" spans="1:125" ht="49.5" customHeight="1" thickBot="1" x14ac:dyDescent="0.35">
      <c r="J103" s="8"/>
      <c r="K103" s="31"/>
      <c r="L103" s="7"/>
      <c r="M103" s="31"/>
      <c r="N103" s="7"/>
      <c r="O103" s="7"/>
      <c r="P103" s="7"/>
      <c r="Q103" s="7"/>
      <c r="R103" s="31"/>
      <c r="S103" s="31"/>
      <c r="T103" s="31"/>
      <c r="U103" s="31"/>
      <c r="V103" s="31"/>
      <c r="W103" s="31"/>
      <c r="X103" s="32"/>
      <c r="Y103" s="35"/>
      <c r="Z103" s="35"/>
      <c r="AA103" s="35"/>
      <c r="AB103" s="36"/>
      <c r="AC103" s="34"/>
      <c r="AD103" s="266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13"/>
      <c r="AU103" s="13"/>
      <c r="AV103" s="37"/>
      <c r="BJ103" s="37"/>
      <c r="BK103" s="3"/>
      <c r="BL103" s="3">
        <f t="shared" ref="BL103" si="326">IF(AE103="ANO",1,0)</f>
        <v>0</v>
      </c>
      <c r="BM103" s="3">
        <f t="shared" ref="BM103" si="327">IF(AI103="ANO",1,0)</f>
        <v>0</v>
      </c>
      <c r="BN103" s="10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>
        <f t="shared" ref="CJ103" si="328">(N103+1.6)*(O103+1.6)*(K103+M103)</f>
        <v>0</v>
      </c>
      <c r="CK103" s="3">
        <f t="shared" ref="CK103" si="329">(N103+1.6+2)*(O103+1.6+2)</f>
        <v>12.96</v>
      </c>
      <c r="CL103" s="3">
        <f t="shared" si="62"/>
        <v>0</v>
      </c>
      <c r="CM103" s="3">
        <f t="shared" si="63"/>
        <v>0</v>
      </c>
      <c r="CN103" s="10">
        <f t="shared" ref="CN103" si="330">(P103+R103)</f>
        <v>0</v>
      </c>
      <c r="CO103" s="6">
        <f>SUM(CO104:CO111)</f>
        <v>0</v>
      </c>
      <c r="CP103" s="6">
        <f>SUM(CP104:CP111)</f>
        <v>0</v>
      </c>
      <c r="CQ103" s="6"/>
      <c r="CR103" s="6"/>
      <c r="CS103" s="6"/>
      <c r="CT103" s="6">
        <f>SUM(CT104:CT111)</f>
        <v>0</v>
      </c>
      <c r="CU103" s="6">
        <f>SUM(CU104:CU111)</f>
        <v>0</v>
      </c>
      <c r="CV103" s="3"/>
      <c r="CW103" s="3"/>
      <c r="CX103" s="3"/>
    </row>
    <row r="104" spans="1:125" x14ac:dyDescent="0.25">
      <c r="CX104" s="3"/>
    </row>
    <row r="126" spans="11:11" x14ac:dyDescent="0.25">
      <c r="K126">
        <v>3.25</v>
      </c>
    </row>
    <row r="127" spans="11:11" x14ac:dyDescent="0.25">
      <c r="K127">
        <v>39.1</v>
      </c>
    </row>
    <row r="128" spans="11:11" x14ac:dyDescent="0.25">
      <c r="K128">
        <v>15.2</v>
      </c>
    </row>
    <row r="129" spans="11:11" x14ac:dyDescent="0.25">
      <c r="K129">
        <v>2</v>
      </c>
    </row>
    <row r="130" spans="11:11" x14ac:dyDescent="0.25">
      <c r="K130">
        <v>1.85</v>
      </c>
    </row>
    <row r="131" spans="11:11" x14ac:dyDescent="0.25">
      <c r="K131">
        <v>7</v>
      </c>
    </row>
    <row r="132" spans="11:11" x14ac:dyDescent="0.25">
      <c r="K132">
        <v>4.2</v>
      </c>
    </row>
    <row r="134" spans="11:11" x14ac:dyDescent="0.25">
      <c r="K134">
        <f>SUM(K126:K133)</f>
        <v>72.600000000000009</v>
      </c>
    </row>
  </sheetData>
  <protectedRanges>
    <protectedRange sqref="B5:I6 E7:I9 B7:D10" name="Oblast3"/>
  </protectedRanges>
  <mergeCells count="3">
    <mergeCell ref="AE17:AI17"/>
    <mergeCell ref="AL17:AO17"/>
    <mergeCell ref="C17:H17"/>
  </mergeCells>
  <phoneticPr fontId="0" type="noConversion"/>
  <pageMargins left="0.70866141732283472" right="0.70866141732283472" top="0.55118110236220474" bottom="0.74803149606299213" header="0.31496062992125984" footer="0.31496062992125984"/>
  <pageSetup paperSize="9" scale="1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BN241"/>
  <sheetViews>
    <sheetView topLeftCell="A53" zoomScaleNormal="100" workbookViewId="0">
      <selection activeCell="Z21" sqref="Z21:AV99"/>
    </sheetView>
  </sheetViews>
  <sheetFormatPr defaultRowHeight="15" x14ac:dyDescent="0.25"/>
  <cols>
    <col min="2" max="2" width="20.85546875" customWidth="1"/>
    <col min="3" max="3" width="8.85546875" bestFit="1" customWidth="1"/>
    <col min="4" max="4" width="11.5703125" bestFit="1" customWidth="1"/>
    <col min="5" max="5" width="12.5703125" customWidth="1"/>
    <col min="6" max="6" width="7.5703125" customWidth="1"/>
    <col min="7" max="7" width="6.7109375" bestFit="1" customWidth="1"/>
    <col min="8" max="8" width="7.28515625" customWidth="1"/>
    <col min="9" max="9" width="10" customWidth="1"/>
    <col min="10" max="10" width="8.7109375" customWidth="1"/>
    <col min="11" max="11" width="7.140625" bestFit="1" customWidth="1"/>
    <col min="12" max="12" width="9.42578125" bestFit="1" customWidth="1"/>
    <col min="13" max="13" width="7.85546875" customWidth="1"/>
    <col min="14" max="14" width="11.28515625" customWidth="1"/>
    <col min="15" max="15" width="11.85546875" customWidth="1"/>
    <col min="16" max="16" width="10" customWidth="1"/>
    <col min="17" max="17" width="16.5703125" bestFit="1" customWidth="1"/>
    <col min="18" max="18" width="12.85546875" customWidth="1"/>
    <col min="19" max="19" width="10.5703125" hidden="1" customWidth="1"/>
    <col min="20" max="20" width="16" hidden="1" customWidth="1"/>
    <col min="21" max="21" width="8.140625" style="154" customWidth="1"/>
    <col min="22" max="22" width="12" customWidth="1"/>
    <col min="23" max="23" width="11.42578125" hidden="1" customWidth="1"/>
    <col min="24" max="24" width="12.7109375" customWidth="1"/>
    <col min="25" max="25" width="11.42578125" hidden="1" customWidth="1"/>
    <col min="26" max="27" width="9.28515625" customWidth="1"/>
    <col min="28" max="29" width="16.7109375" hidden="1" customWidth="1"/>
    <col min="30" max="30" width="13.140625" hidden="1" customWidth="1"/>
    <col min="31" max="31" width="13" customWidth="1"/>
    <col min="32" max="32" width="9.140625" bestFit="1" customWidth="1"/>
    <col min="33" max="33" width="11.140625" customWidth="1"/>
    <col min="34" max="34" width="9.140625" customWidth="1"/>
    <col min="35" max="35" width="10.5703125" hidden="1" customWidth="1"/>
    <col min="36" max="36" width="11.7109375" hidden="1" customWidth="1"/>
    <col min="37" max="38" width="14.85546875" customWidth="1"/>
    <col min="39" max="39" width="10.140625" bestFit="1" customWidth="1"/>
    <col min="40" max="40" width="13.28515625" customWidth="1"/>
    <col min="41" max="41" width="12.85546875" bestFit="1" customWidth="1"/>
    <col min="42" max="42" width="11.42578125" bestFit="1" customWidth="1"/>
    <col min="43" max="48" width="14.5703125" customWidth="1"/>
  </cols>
  <sheetData>
    <row r="3" spans="2:48" x14ac:dyDescent="0.25">
      <c r="B3" s="9"/>
      <c r="R3" s="3"/>
      <c r="S3" s="3"/>
      <c r="AF3" s="3"/>
      <c r="AQ3" s="3"/>
      <c r="AR3" s="3"/>
      <c r="AS3" s="3"/>
      <c r="AT3" s="3"/>
      <c r="AU3" s="3"/>
      <c r="AV3" s="3"/>
    </row>
    <row r="4" spans="2:48" x14ac:dyDescent="0.25">
      <c r="B4" s="9"/>
      <c r="R4" s="3"/>
      <c r="S4" s="3"/>
      <c r="AF4" s="3"/>
      <c r="AQ4" s="3"/>
      <c r="AR4" s="3"/>
      <c r="AS4" s="3"/>
      <c r="AT4" s="3"/>
      <c r="AU4" s="3"/>
      <c r="AV4" s="3"/>
    </row>
    <row r="5" spans="2:48" x14ac:dyDescent="0.25">
      <c r="R5" s="3"/>
      <c r="S5" s="3"/>
      <c r="AF5" s="3"/>
      <c r="AQ5" s="3"/>
      <c r="AR5" s="3"/>
      <c r="AS5" s="3"/>
      <c r="AT5" s="3"/>
      <c r="AU5" s="3"/>
      <c r="AV5" s="3"/>
    </row>
    <row r="6" spans="2:48" x14ac:dyDescent="0.25">
      <c r="R6" s="3"/>
      <c r="S6" s="3"/>
      <c r="AF6" s="3"/>
      <c r="AQ6" s="3"/>
      <c r="AR6" s="3"/>
      <c r="AS6" s="3"/>
      <c r="AT6" s="3"/>
      <c r="AU6" s="3"/>
      <c r="AV6" s="3"/>
    </row>
    <row r="7" spans="2:48" ht="19.5" x14ac:dyDescent="0.3">
      <c r="R7" s="3"/>
      <c r="S7" s="3"/>
      <c r="AF7" s="3"/>
      <c r="AN7" s="177" t="s">
        <v>261</v>
      </c>
      <c r="AO7" s="220">
        <v>570</v>
      </c>
      <c r="AP7" t="s">
        <v>89</v>
      </c>
      <c r="AQ7" s="12"/>
      <c r="AR7" s="12"/>
      <c r="AS7" s="12"/>
      <c r="AT7" s="12"/>
      <c r="AU7" s="12"/>
      <c r="AV7" s="3"/>
    </row>
    <row r="8" spans="2:48" x14ac:dyDescent="0.25">
      <c r="R8" s="3"/>
      <c r="S8" s="3"/>
      <c r="Z8" t="s">
        <v>57</v>
      </c>
      <c r="AB8" t="s">
        <v>58</v>
      </c>
      <c r="AF8" s="3"/>
      <c r="AQ8" s="3"/>
      <c r="AR8" s="3"/>
      <c r="AS8" s="3"/>
      <c r="AT8" s="3"/>
      <c r="AU8" s="3"/>
      <c r="AV8" s="3"/>
    </row>
    <row r="9" spans="2:48" x14ac:dyDescent="0.25">
      <c r="M9" s="272"/>
      <c r="N9" s="272"/>
      <c r="O9" s="272"/>
      <c r="P9" s="272"/>
      <c r="Q9" s="272"/>
      <c r="R9" s="272"/>
      <c r="S9" s="273"/>
      <c r="Z9">
        <v>1</v>
      </c>
      <c r="AB9">
        <v>1</v>
      </c>
      <c r="AF9" s="3"/>
      <c r="AQ9" s="3"/>
      <c r="AR9" s="3"/>
      <c r="AS9" s="3"/>
      <c r="AT9" s="3"/>
      <c r="AU9" s="3"/>
      <c r="AV9" s="3"/>
    </row>
    <row r="10" spans="2:48" ht="19.5" x14ac:dyDescent="0.3">
      <c r="M10" s="272"/>
      <c r="N10" s="272"/>
      <c r="O10" s="272"/>
      <c r="P10" s="274" t="s">
        <v>259</v>
      </c>
      <c r="Q10" s="275">
        <f>CEILING(1.25*(Šachty!K18+Šachty!M18)*6+Q23*0.1,1)</f>
        <v>816</v>
      </c>
      <c r="R10" s="276" t="s">
        <v>83</v>
      </c>
      <c r="S10" s="273"/>
      <c r="Z10">
        <v>2</v>
      </c>
      <c r="AB10" t="s">
        <v>59</v>
      </c>
      <c r="AF10" s="3"/>
      <c r="AM10" s="175"/>
      <c r="AN10" s="175" t="s">
        <v>12</v>
      </c>
      <c r="AO10" s="220">
        <f>AN23</f>
        <v>5665</v>
      </c>
      <c r="AP10" s="175" t="s">
        <v>64</v>
      </c>
      <c r="AQ10" s="177"/>
      <c r="AR10" s="177"/>
      <c r="AS10" s="177"/>
      <c r="AT10" s="177"/>
      <c r="AU10" s="177"/>
      <c r="AV10" s="3"/>
    </row>
    <row r="11" spans="2:48" ht="19.5" x14ac:dyDescent="0.3">
      <c r="M11" s="272"/>
      <c r="N11" s="272"/>
      <c r="O11" s="272"/>
      <c r="P11" s="274" t="s">
        <v>260</v>
      </c>
      <c r="Q11" s="275">
        <f>CEILING(1.05*Q23-(Q10*0.3),1)</f>
        <v>4455</v>
      </c>
      <c r="R11" s="276" t="s">
        <v>89</v>
      </c>
      <c r="S11" s="273"/>
      <c r="Z11">
        <v>3</v>
      </c>
      <c r="AB11" t="s">
        <v>59</v>
      </c>
      <c r="AF11" s="3"/>
      <c r="AM11" s="175"/>
      <c r="AN11" s="175" t="s">
        <v>13</v>
      </c>
      <c r="AO11" s="220">
        <f>AP23</f>
        <v>4276</v>
      </c>
      <c r="AP11" s="175" t="s">
        <v>64</v>
      </c>
      <c r="AQ11" s="178">
        <f>AO11-AO13</f>
        <v>3848.4</v>
      </c>
      <c r="AR11" s="178"/>
      <c r="AS11" s="178"/>
      <c r="AT11" s="178"/>
      <c r="AU11" s="178"/>
      <c r="AV11" s="3"/>
    </row>
    <row r="12" spans="2:48" ht="19.5" x14ac:dyDescent="0.3">
      <c r="M12" s="272"/>
      <c r="N12" s="272"/>
      <c r="O12" s="272"/>
      <c r="P12" s="274"/>
      <c r="Q12" s="275"/>
      <c r="R12" s="276"/>
      <c r="S12" s="273"/>
      <c r="Z12">
        <v>4</v>
      </c>
      <c r="AB12">
        <v>4</v>
      </c>
      <c r="AF12" s="3"/>
      <c r="AM12" s="175"/>
      <c r="AN12" s="177" t="s">
        <v>134</v>
      </c>
      <c r="AO12" s="220">
        <f>AO10*0.65</f>
        <v>3682.25</v>
      </c>
      <c r="AP12" s="175" t="s">
        <v>64</v>
      </c>
      <c r="AQ12" s="177"/>
      <c r="AR12" s="177"/>
      <c r="AS12" s="177"/>
      <c r="AT12" s="177"/>
      <c r="AU12" s="177"/>
      <c r="AV12" s="3"/>
    </row>
    <row r="13" spans="2:48" ht="19.5" x14ac:dyDescent="0.3">
      <c r="M13" s="272"/>
      <c r="N13" s="272"/>
      <c r="O13" s="272"/>
      <c r="P13" s="272"/>
      <c r="Q13" s="272"/>
      <c r="R13" s="272"/>
      <c r="S13" s="273"/>
      <c r="Z13">
        <v>5</v>
      </c>
      <c r="AB13">
        <v>5</v>
      </c>
      <c r="AF13" s="3"/>
      <c r="AM13" s="175"/>
      <c r="AN13" s="177" t="s">
        <v>191</v>
      </c>
      <c r="AO13" s="220">
        <f>AO11*0.1</f>
        <v>427.6</v>
      </c>
      <c r="AP13" s="175" t="s">
        <v>64</v>
      </c>
      <c r="AQ13" s="177">
        <f>IF(AO11-AO12&gt;AO13,0,1)</f>
        <v>0</v>
      </c>
      <c r="AR13" s="177"/>
      <c r="AS13" s="177"/>
      <c r="AT13" s="177"/>
      <c r="AU13" s="177"/>
      <c r="AV13" s="3">
        <f>IF(AO11-AO12&gt;AO13,AO11-AO12,AO11*0.15)</f>
        <v>593.75</v>
      </c>
    </row>
    <row r="14" spans="2:48" ht="19.5" x14ac:dyDescent="0.3">
      <c r="Q14" s="3"/>
      <c r="R14" s="3"/>
      <c r="S14" s="3"/>
      <c r="Z14">
        <v>6</v>
      </c>
      <c r="AB14">
        <v>6</v>
      </c>
      <c r="AM14" s="175"/>
      <c r="AN14" s="175"/>
      <c r="AO14" s="220"/>
      <c r="AP14" s="175"/>
      <c r="AQ14" s="177"/>
      <c r="AR14" s="177"/>
      <c r="AS14" s="177"/>
      <c r="AT14" s="177"/>
      <c r="AU14" s="177"/>
      <c r="AV14" s="3"/>
    </row>
    <row r="15" spans="2:48" ht="19.5" x14ac:dyDescent="0.3">
      <c r="R15" s="3"/>
      <c r="S15" s="3"/>
      <c r="AF15">
        <v>4.8</v>
      </c>
      <c r="AM15" s="175"/>
      <c r="AN15" s="177" t="s">
        <v>106</v>
      </c>
      <c r="AO15" s="220">
        <f>AO10-AO11+AO13</f>
        <v>1816.6</v>
      </c>
      <c r="AP15" s="175" t="s">
        <v>64</v>
      </c>
      <c r="AQ15" s="243"/>
      <c r="AR15" s="243"/>
      <c r="AS15" s="243"/>
      <c r="AT15" s="243"/>
      <c r="AU15" s="243"/>
      <c r="AV15" s="3"/>
    </row>
    <row r="16" spans="2:48" ht="19.5" x14ac:dyDescent="0.3">
      <c r="R16" s="3"/>
      <c r="S16" s="3"/>
      <c r="AN16" s="177"/>
      <c r="AQ16" s="3"/>
      <c r="AR16" s="3"/>
      <c r="AS16" s="3"/>
      <c r="AT16" s="3"/>
      <c r="AU16" s="3"/>
      <c r="AV16" s="3"/>
    </row>
    <row r="17" spans="1:66" ht="19.5" x14ac:dyDescent="0.3">
      <c r="P17" s="3"/>
      <c r="R17" s="3"/>
      <c r="S17" s="3"/>
      <c r="V17" s="12"/>
      <c r="AN17" s="177"/>
      <c r="AO17" s="176"/>
      <c r="AP17" s="175"/>
      <c r="AQ17" s="3"/>
      <c r="AR17" s="3"/>
      <c r="AS17" s="3"/>
      <c r="AT17" s="3"/>
      <c r="AU17" s="3"/>
      <c r="AV17" s="3"/>
      <c r="AW17" s="90"/>
    </row>
    <row r="18" spans="1:66" x14ac:dyDescent="0.25">
      <c r="P18" s="3"/>
      <c r="Q18" s="122"/>
      <c r="R18" s="3"/>
      <c r="S18" s="3"/>
      <c r="T18" s="13"/>
      <c r="U18" s="155"/>
      <c r="V18" s="13"/>
      <c r="W18" s="13"/>
      <c r="X18" s="13"/>
      <c r="AQ18" s="3"/>
      <c r="AR18" s="3"/>
      <c r="AS18" s="3"/>
      <c r="AT18" s="3"/>
      <c r="AU18" s="3"/>
      <c r="AV18" s="3"/>
    </row>
    <row r="19" spans="1:66" x14ac:dyDescent="0.25">
      <c r="I19" t="s">
        <v>120</v>
      </c>
      <c r="P19" s="3"/>
      <c r="R19" s="3"/>
      <c r="S19" s="3"/>
      <c r="AF19" s="3"/>
      <c r="AQ19" s="3"/>
      <c r="AR19" s="3"/>
      <c r="AS19" s="3"/>
      <c r="AT19" s="3"/>
      <c r="AU19" s="3"/>
      <c r="AV19" s="3"/>
    </row>
    <row r="20" spans="1:66" ht="15.75" thickBot="1" x14ac:dyDescent="0.3">
      <c r="R20" s="3"/>
      <c r="S20" s="3"/>
      <c r="AF20" s="3"/>
      <c r="AQ20" s="3"/>
      <c r="AR20" s="3"/>
      <c r="AS20" s="3"/>
      <c r="AT20" s="3"/>
      <c r="AU20" s="3"/>
      <c r="AV20" s="3"/>
    </row>
    <row r="21" spans="1:66" ht="39.75" thickBot="1" x14ac:dyDescent="0.3">
      <c r="B21" s="77" t="s">
        <v>21</v>
      </c>
      <c r="C21" s="78"/>
      <c r="D21" s="78"/>
      <c r="E21" s="78"/>
      <c r="F21" s="111"/>
      <c r="G21" s="111"/>
      <c r="H21" s="26"/>
      <c r="I21" s="119"/>
      <c r="J21" s="115"/>
      <c r="K21" s="111"/>
      <c r="L21" s="26"/>
      <c r="M21" s="119"/>
      <c r="N21" s="26"/>
      <c r="O21" s="78"/>
      <c r="P21" s="78"/>
      <c r="Q21" s="119"/>
      <c r="R21" s="156" t="s">
        <v>110</v>
      </c>
      <c r="S21" s="79"/>
      <c r="T21" s="78"/>
      <c r="U21" s="234"/>
      <c r="V21" s="78"/>
      <c r="W21" s="78"/>
      <c r="X21" s="78"/>
      <c r="Y21" s="119"/>
      <c r="Z21" s="158" t="s">
        <v>118</v>
      </c>
      <c r="AA21" s="278"/>
      <c r="AB21" s="80"/>
      <c r="AC21" s="280"/>
      <c r="AD21" s="159"/>
      <c r="AE21" s="162" t="s">
        <v>111</v>
      </c>
      <c r="AF21" s="79"/>
      <c r="AG21" s="119"/>
      <c r="AH21" s="168" t="s">
        <v>112</v>
      </c>
      <c r="AI21" s="164"/>
      <c r="AJ21" s="169"/>
      <c r="AK21" s="164" t="s">
        <v>115</v>
      </c>
      <c r="AL21" s="164"/>
      <c r="AM21" s="164"/>
      <c r="AN21" s="164"/>
      <c r="AO21" s="164"/>
      <c r="AP21" s="164"/>
      <c r="AQ21" s="182" t="s">
        <v>84</v>
      </c>
      <c r="AR21" s="283"/>
      <c r="AS21" s="283"/>
      <c r="AT21" s="283"/>
      <c r="AU21" s="283"/>
      <c r="AV21" s="183"/>
      <c r="AW21" s="188"/>
    </row>
    <row r="22" spans="1:66" ht="90" x14ac:dyDescent="0.25">
      <c r="B22" s="81"/>
      <c r="C22" s="75" t="s">
        <v>8</v>
      </c>
      <c r="D22" s="74" t="s">
        <v>172</v>
      </c>
      <c r="E22" s="75" t="s">
        <v>173</v>
      </c>
      <c r="F22" s="112" t="s">
        <v>10</v>
      </c>
      <c r="G22" s="112" t="s">
        <v>9</v>
      </c>
      <c r="H22" s="120" t="s">
        <v>14</v>
      </c>
      <c r="I22" s="82" t="s">
        <v>88</v>
      </c>
      <c r="J22" s="116" t="s">
        <v>175</v>
      </c>
      <c r="K22" s="94" t="s">
        <v>20</v>
      </c>
      <c r="L22" s="120" t="s">
        <v>82</v>
      </c>
      <c r="M22" s="82" t="s">
        <v>20</v>
      </c>
      <c r="N22" s="120" t="s">
        <v>362</v>
      </c>
      <c r="O22" s="74" t="s">
        <v>363</v>
      </c>
      <c r="P22" s="74" t="s">
        <v>60</v>
      </c>
      <c r="Q22" s="82" t="s">
        <v>15</v>
      </c>
      <c r="R22" s="120" t="s">
        <v>108</v>
      </c>
      <c r="S22" s="74" t="s">
        <v>109</v>
      </c>
      <c r="T22" s="74" t="s">
        <v>274</v>
      </c>
      <c r="U22" s="74"/>
      <c r="V22" s="74" t="s">
        <v>275</v>
      </c>
      <c r="W22" s="74" t="s">
        <v>174</v>
      </c>
      <c r="X22" s="74" t="s">
        <v>278</v>
      </c>
      <c r="Y22" s="82" t="s">
        <v>117</v>
      </c>
      <c r="Z22" s="120"/>
      <c r="AA22" s="74" t="s">
        <v>276</v>
      </c>
      <c r="AB22" s="74" t="s">
        <v>188</v>
      </c>
      <c r="AC22" s="74" t="s">
        <v>277</v>
      </c>
      <c r="AD22" s="82" t="s">
        <v>279</v>
      </c>
      <c r="AE22" s="120" t="s">
        <v>185</v>
      </c>
      <c r="AF22" s="74" t="s">
        <v>186</v>
      </c>
      <c r="AG22" s="82" t="s">
        <v>187</v>
      </c>
      <c r="AH22" s="170"/>
      <c r="AI22" s="165" t="s">
        <v>113</v>
      </c>
      <c r="AJ22" s="171" t="s">
        <v>114</v>
      </c>
      <c r="AK22" s="165"/>
      <c r="AL22" s="165"/>
      <c r="AM22" s="165" t="s">
        <v>116</v>
      </c>
      <c r="AN22" s="165" t="s">
        <v>131</v>
      </c>
      <c r="AO22" s="165" t="s">
        <v>132</v>
      </c>
      <c r="AP22" s="165" t="s">
        <v>133</v>
      </c>
      <c r="AQ22" s="244" t="s">
        <v>283</v>
      </c>
      <c r="AR22" s="244" t="s">
        <v>282</v>
      </c>
      <c r="AS22" s="244" t="s">
        <v>284</v>
      </c>
      <c r="AT22" s="244" t="s">
        <v>281</v>
      </c>
      <c r="AU22" s="244" t="s">
        <v>285</v>
      </c>
      <c r="AV22" s="244" t="s">
        <v>280</v>
      </c>
      <c r="AW22" s="185"/>
    </row>
    <row r="23" spans="1:66" ht="15.75" x14ac:dyDescent="0.25">
      <c r="A23" s="1"/>
      <c r="B23" s="83"/>
      <c r="C23" s="92">
        <f>CEILING((SUM(C24:C245)*1.04),1)</f>
        <v>1159</v>
      </c>
      <c r="D23" s="92"/>
      <c r="E23" s="92"/>
      <c r="F23" s="95"/>
      <c r="G23" s="95"/>
      <c r="H23" s="121"/>
      <c r="I23" s="93">
        <f>CEILING((SUM(I24:I254)*1.1),1)</f>
        <v>1302</v>
      </c>
      <c r="J23" s="117"/>
      <c r="K23" s="95">
        <f>CEILING((SUM(K24:K254)*1.1),1)</f>
        <v>20</v>
      </c>
      <c r="L23" s="121"/>
      <c r="M23" s="93">
        <f>CEILING((SUM(M24:M254)*1.1),1)</f>
        <v>14</v>
      </c>
      <c r="N23" s="121"/>
      <c r="O23" s="92"/>
      <c r="P23" s="92"/>
      <c r="Q23" s="93">
        <f>CEILING((SUM(Q24:Q254)*1.1),1)</f>
        <v>4476</v>
      </c>
      <c r="R23" s="121"/>
      <c r="S23" s="92"/>
      <c r="T23" s="92">
        <f>SUM(T24:T254)</f>
        <v>633.87748620000025</v>
      </c>
      <c r="U23" s="92"/>
      <c r="V23" s="92"/>
      <c r="W23" s="92">
        <f>SUM(W24:W254)</f>
        <v>445.40903450000008</v>
      </c>
      <c r="X23" s="92"/>
      <c r="Y23" s="93">
        <f>CEILING((SUM(Y24:Y254)*1.04),1)</f>
        <v>230</v>
      </c>
      <c r="Z23" s="121"/>
      <c r="AA23" s="166"/>
      <c r="AB23" s="93">
        <f>CEILING((SUM(AB24:AB254)*1.04),1)</f>
        <v>906</v>
      </c>
      <c r="AC23" s="93"/>
      <c r="AD23" s="93">
        <f>CEILING((SUM(AD24:AD254)*1.04),1)</f>
        <v>317</v>
      </c>
      <c r="AE23" s="96">
        <f>CEILING((SUM(AE24:AE254)*1.04),1)</f>
        <v>2298</v>
      </c>
      <c r="AF23" s="93">
        <f>CEILING((SUM(AF24:AF254)*1.04),1)</f>
        <v>2585</v>
      </c>
      <c r="AG23" s="93">
        <f>CEILING((SUM(AG24:AG254)*1.04),1)</f>
        <v>2593</v>
      </c>
      <c r="AH23" s="172"/>
      <c r="AI23" s="93">
        <f>CEILING((SUM(AI24:AI254)*1.1),1)</f>
        <v>2734</v>
      </c>
      <c r="AJ23" s="93">
        <f>CEILING((SUM(AJ24:AJ254)*1.1),1)</f>
        <v>5467</v>
      </c>
      <c r="AK23" s="166"/>
      <c r="AL23" s="166"/>
      <c r="AM23" s="166"/>
      <c r="AN23" s="93">
        <f>CEILING((SUM(AN24:AN254)*1.1),1)</f>
        <v>5665</v>
      </c>
      <c r="AO23" s="166"/>
      <c r="AP23" s="95">
        <f>CEILING((SUM(AP24:AP254)*1.1),1)</f>
        <v>4276</v>
      </c>
      <c r="AQ23" s="121"/>
      <c r="AR23" s="95">
        <f>CEILING((SUM(AR24:AR254)*1.1),1)</f>
        <v>2068</v>
      </c>
      <c r="AS23" s="286">
        <f>CEILING((SUM(AS24:AS254)*1.1),1)</f>
        <v>4648</v>
      </c>
      <c r="AT23" s="166"/>
      <c r="AU23" s="95">
        <f>CEILING((SUM(AU24:AU254)*1.1),1)</f>
        <v>1397</v>
      </c>
      <c r="AV23" s="95">
        <f>SUM(AV24:AV254)*1.05</f>
        <v>0</v>
      </c>
      <c r="AW23" s="95">
        <f>CEILING(1.1*SUM(AW24:AW254),1)</f>
        <v>0</v>
      </c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</row>
    <row r="24" spans="1:66" ht="15.75" x14ac:dyDescent="0.25">
      <c r="A24">
        <v>1</v>
      </c>
      <c r="B24" s="84" t="s">
        <v>239</v>
      </c>
      <c r="C24" s="192">
        <v>10.5</v>
      </c>
      <c r="D24" s="25">
        <f>IF(C24&gt;0,C24+0.58,0)</f>
        <v>11.08</v>
      </c>
      <c r="E24" s="236" t="s">
        <v>127</v>
      </c>
      <c r="F24" s="113"/>
      <c r="G24" s="113">
        <f>IF(O24&gt;0,O24*0.45+2*Z24,O24*0.45)</f>
        <v>0.9</v>
      </c>
      <c r="H24" s="28"/>
      <c r="I24" s="27">
        <f>IF(C24&gt;0,CEILING(C24+0.58,1)*H24,0)</f>
        <v>0</v>
      </c>
      <c r="J24" s="118"/>
      <c r="K24" s="113">
        <f>IF(C24&gt;0,CEILING(C24+0.58,1)*J24,0)</f>
        <v>0</v>
      </c>
      <c r="L24" s="28"/>
      <c r="M24" s="27">
        <f>IF(C24&gt;0,CEILING(C24+0.58,1)*L24,0)</f>
        <v>0</v>
      </c>
      <c r="N24" s="28">
        <v>1</v>
      </c>
      <c r="O24" s="72">
        <v>2</v>
      </c>
      <c r="P24" s="72">
        <v>2</v>
      </c>
      <c r="Q24" s="27">
        <f>IF(C24&gt;0,CEILING(C24+0.58,1)*P24,0)</f>
        <v>24</v>
      </c>
      <c r="R24" s="157" t="s">
        <v>184</v>
      </c>
      <c r="S24" s="73">
        <f>IF(R24="ano",(N24*0.45+0.25)*(O24*0.45+0.15)-(N24*0.385)*(O24*0.385),0)</f>
        <v>0.43855</v>
      </c>
      <c r="T24" s="25">
        <f>IF(R24="ano",C24*S24,0)</f>
        <v>4.6047750000000001</v>
      </c>
      <c r="U24" s="235" t="s">
        <v>184</v>
      </c>
      <c r="V24" s="25">
        <f>IF(U24="ano",(N24*0.45+0.45)*(O24*0.45+0.25)-S24,0)</f>
        <v>0.59644999999999992</v>
      </c>
      <c r="W24" s="25">
        <f>C24*V24</f>
        <v>6.2627249999999997</v>
      </c>
      <c r="X24" s="25">
        <f>IF(C24&gt;0,H24*0.3+J24*0.4+L24*0.4+N24*0.4+0.5+0.8,0)</f>
        <v>1.7000000000000002</v>
      </c>
      <c r="Y24" s="29">
        <f>C24*X24*0.1</f>
        <v>1.7850000000000001</v>
      </c>
      <c r="Z24" s="160"/>
      <c r="AA24" s="279" t="s">
        <v>184</v>
      </c>
      <c r="AB24" s="76">
        <f>IF(AA24="ano",X24*C24,0)</f>
        <v>17.850000000000001</v>
      </c>
      <c r="AC24" s="279" t="s">
        <v>184</v>
      </c>
      <c r="AD24" s="161">
        <f>IF(AC24="ano",C24*(0.8*N24+0.4*O24+0.2+0.1),0)</f>
        <v>19.950000000000003</v>
      </c>
      <c r="AE24" s="163">
        <f>X24*C24</f>
        <v>17.850000000000001</v>
      </c>
      <c r="AF24" s="76">
        <f>IF(AH24="ano",C24*((N24*0.65+0.3)+(O24*0.65+0.15)*2*1.15),0)</f>
        <v>44.992499999999993</v>
      </c>
      <c r="AG24" s="161">
        <f>IF(U24="ano",C24*((N24*0.65+0.6)+(O24*0.65+0.3)*2*1.15),0)</f>
        <v>51.765000000000001</v>
      </c>
      <c r="AH24" s="235" t="s">
        <v>184</v>
      </c>
      <c r="AI24" s="167">
        <f>IF(AH24="ano",C24*((N24*0.65+0.3)+(O24*0.65+0.15)*2*1.15),0)</f>
        <v>44.992499999999993</v>
      </c>
      <c r="AJ24" s="174">
        <f>AI24*2</f>
        <v>89.984999999999985</v>
      </c>
      <c r="AK24" s="167" t="str">
        <f>E24</f>
        <v>stezka</v>
      </c>
      <c r="AL24" s="167">
        <f t="shared" ref="AL24:AL94" si="0">IF(AK24="stezka",1,IF(AK24="Pod kolejemi",1.7,IF(AK24="nástupiště",0.35,0)))</f>
        <v>1</v>
      </c>
      <c r="AM24" s="167">
        <f t="shared" ref="AM24:AM94" si="1">IF(AK24="stezka",H24*0.02+J24*0.03+L24*0.06+(N24*0.65+0.7)*(O24*0.65+0.15+0.3+AL24)*1.15,IF(AK24="Pod kolejemi",H24*0.02+J24*0.03+L24*0.06+(N24*0.65+0.7)*(O24*0.65+0.15+0.3+AL24)*1.15,IF(AK24="nástupiště",H24*0.02+J24*0.03+L24*0.06+(N24*0.65+0.7)*(O24*0.65+0.3+AL24)*1.15,0)))</f>
        <v>4.2693750000000001</v>
      </c>
      <c r="AN24" s="167">
        <f>C24*AM24</f>
        <v>44.8284375</v>
      </c>
      <c r="AO24" s="167">
        <f t="shared" ref="AO24:AO43" si="2">AM24-((H24*0.02+J24*0.04+L24*0.06+(N24*0.5)*(O24*0.5)+X24*0.1))</f>
        <v>3.5993750000000002</v>
      </c>
      <c r="AP24" s="167">
        <f t="shared" ref="AP24:AP47" si="3">C24*AO24</f>
        <v>37.793437500000003</v>
      </c>
      <c r="AQ24" s="157" t="s">
        <v>184</v>
      </c>
      <c r="AR24" s="285">
        <f>IF(AQ24="ano",(C24*(O24*0.65+0.3)*2*1.15),0)</f>
        <v>38.64</v>
      </c>
      <c r="AS24" s="285">
        <f>IF(AQ24="ano",(C24*(O24*0.65+0.3+2.5)*2*1.15),0)</f>
        <v>99.014999999999986</v>
      </c>
      <c r="AT24" s="284"/>
      <c r="AU24" s="285">
        <f t="shared" ref="AU24:AU59" si="4">IF(AT24="ano",(C24*(O24*0.65+0.3)*2*1.15),0)</f>
        <v>0</v>
      </c>
      <c r="AV24" s="184">
        <v>0</v>
      </c>
      <c r="AW24" s="187"/>
      <c r="AX24" t="str">
        <f t="shared" ref="AX24:AX47" si="5">B24</f>
        <v>Stáv. Š6-NOVÁ Š6</v>
      </c>
    </row>
    <row r="25" spans="1:66" ht="15.75" x14ac:dyDescent="0.25">
      <c r="A25">
        <f>IF(B25&gt;0,A24+1,A23+1)</f>
        <v>2</v>
      </c>
      <c r="B25" s="84" t="s">
        <v>221</v>
      </c>
      <c r="C25" s="192">
        <v>16.5</v>
      </c>
      <c r="D25" s="25">
        <f t="shared" ref="D25:D52" si="6">IF(C25&gt;0,C25+0.58,0)</f>
        <v>17.079999999999998</v>
      </c>
      <c r="E25" s="236" t="s">
        <v>127</v>
      </c>
      <c r="F25" s="113"/>
      <c r="G25" s="113">
        <f>IF(O25&gt;0,O25*0.45,O25*0.45)</f>
        <v>0</v>
      </c>
      <c r="H25" s="28">
        <v>6</v>
      </c>
      <c r="I25" s="27">
        <f>IF(C25&gt;0,CEILING(C25+0.58,1)*H25,0)</f>
        <v>108</v>
      </c>
      <c r="J25" s="118"/>
      <c r="K25" s="113">
        <f t="shared" ref="K25:K36" si="7">IF(C25&gt;0,CEILING(C25+0.58,1)*J25,0)</f>
        <v>0</v>
      </c>
      <c r="L25" s="28"/>
      <c r="M25" s="27">
        <f t="shared" ref="M25:M36" si="8">IF(C25&gt;0,CEILING(C25+0.58,1)*L25,0)</f>
        <v>0</v>
      </c>
      <c r="N25" s="28"/>
      <c r="O25" s="72"/>
      <c r="P25" s="72"/>
      <c r="Q25" s="27">
        <f t="shared" ref="Q25:Q52" si="9">IF(C25&gt;0,CEILING(C25+0.58,1)*P25,0)</f>
        <v>0</v>
      </c>
      <c r="R25" s="157" t="s">
        <v>183</v>
      </c>
      <c r="S25" s="73">
        <f t="shared" ref="S25:S40" si="10">IF(R25="ano",(N25*0.45+0.25)*(O25*0.45+0.15)-(N25*0.385)*(O25*0.385),0)</f>
        <v>0</v>
      </c>
      <c r="T25" s="25">
        <f t="shared" ref="T25:T47" si="11">IF(R25="ano",C25*S25,0)</f>
        <v>0</v>
      </c>
      <c r="U25" s="235" t="s">
        <v>183</v>
      </c>
      <c r="V25" s="25">
        <f t="shared" ref="V25:V95" si="12">IF(U25="ano",(N25*0.45+0.45)*(O25*0.45+0.25)-S25,0)</f>
        <v>0</v>
      </c>
      <c r="W25" s="25">
        <f>C25*V25</f>
        <v>0</v>
      </c>
      <c r="X25" s="282">
        <f>IF(C25&gt;0,H25*0.1+J25*0.15+L25*0.2+0.3+0.6,0)</f>
        <v>1.5</v>
      </c>
      <c r="Y25" s="29">
        <f>C25*X25*0.1</f>
        <v>2.4750000000000001</v>
      </c>
      <c r="Z25" s="160"/>
      <c r="AA25" s="279" t="s">
        <v>183</v>
      </c>
      <c r="AB25" s="76">
        <f t="shared" ref="AB25:AB95" si="13">IF(AA25="ano",X25*C25,0)</f>
        <v>0</v>
      </c>
      <c r="AC25" s="279" t="s">
        <v>183</v>
      </c>
      <c r="AD25" s="161">
        <f t="shared" ref="AD25:AD95" si="14">IF(AC25="ano",C25*(0.8*N25+0.4*O25+0.2+0.1),0)</f>
        <v>0</v>
      </c>
      <c r="AE25" s="163">
        <f t="shared" ref="AE25:AE47" si="15">X25*C25</f>
        <v>24.75</v>
      </c>
      <c r="AF25" s="76">
        <f t="shared" ref="AF25:AF95" si="16">IF(AH25="ano",C25*((N25*0.65+0.3)+(O25*0.65+0.15)*2*1.15),0)</f>
        <v>0</v>
      </c>
      <c r="AG25" s="161">
        <f t="shared" ref="AG25:AG95" si="17">IF(U25="ano",C25*((N25*0.65+0.6)+(O25*0.65+0.3)*2*1.15),0)</f>
        <v>0</v>
      </c>
      <c r="AH25" s="235" t="s">
        <v>183</v>
      </c>
      <c r="AI25" s="167">
        <f t="shared" ref="AI25:AI95" si="18">IF(AH25="ano",C25*((N25*0.65+0.3)+(O25*0.65+0.15)*2*1.15),0)</f>
        <v>0</v>
      </c>
      <c r="AJ25" s="174">
        <f t="shared" ref="AJ25:AJ52" si="19">AI25*2</f>
        <v>0</v>
      </c>
      <c r="AK25" s="167" t="str">
        <f t="shared" ref="AK25:AK71" si="20">E25</f>
        <v>stezka</v>
      </c>
      <c r="AL25" s="167">
        <f t="shared" si="0"/>
        <v>1</v>
      </c>
      <c r="AM25" s="167">
        <f t="shared" si="1"/>
        <v>1.2872499999999998</v>
      </c>
      <c r="AN25" s="167">
        <f t="shared" ref="AN25:AN95" si="21">C25*AM25</f>
        <v>21.239624999999997</v>
      </c>
      <c r="AO25" s="167">
        <f t="shared" si="2"/>
        <v>1.0172499999999998</v>
      </c>
      <c r="AP25" s="167">
        <f t="shared" si="3"/>
        <v>16.784624999999995</v>
      </c>
      <c r="AQ25" s="157"/>
      <c r="AR25" s="285">
        <f t="shared" ref="AR25:AR95" si="22">IF(AQ25="ano",(C25*(O25*0.65+0.3)*2*1.15),0)</f>
        <v>0</v>
      </c>
      <c r="AS25" s="285">
        <f t="shared" ref="AS25:AS95" si="23">IF(AQ25="ano",(C25*(O25*0.65+0.3+2.5)*2*1.15),0)</f>
        <v>0</v>
      </c>
      <c r="AT25" s="284"/>
      <c r="AU25" s="285">
        <f t="shared" si="4"/>
        <v>0</v>
      </c>
      <c r="AV25" s="184" t="s">
        <v>184</v>
      </c>
      <c r="AW25" s="186"/>
      <c r="AX25" t="str">
        <f t="shared" si="5"/>
        <v>Š06-Š06a</v>
      </c>
    </row>
    <row r="26" spans="1:66" ht="15.75" x14ac:dyDescent="0.25">
      <c r="A26">
        <f t="shared" ref="A26:A97" si="24">IF(B26&gt;0,A25+1,A24+1)</f>
        <v>3</v>
      </c>
      <c r="B26" s="84" t="s">
        <v>222</v>
      </c>
      <c r="C26" s="192">
        <v>25.1</v>
      </c>
      <c r="D26" s="25">
        <f t="shared" ref="D26:D27" si="25">IF(C26&gt;0,C26+0.58,0)</f>
        <v>25.68</v>
      </c>
      <c r="E26" s="236" t="s">
        <v>127</v>
      </c>
      <c r="F26" s="113"/>
      <c r="G26" s="113">
        <f t="shared" ref="G26:G44" si="26">IF(O26&gt;0,O26*0.45,O26*0.45)</f>
        <v>0.9</v>
      </c>
      <c r="H26" s="28"/>
      <c r="I26" s="27">
        <f t="shared" ref="I26:I27" si="27">IF(C26&gt;0,CEILING(C26+0.58,1)*H26,0)</f>
        <v>0</v>
      </c>
      <c r="J26" s="118"/>
      <c r="K26" s="113">
        <f t="shared" ref="K26:K27" si="28">IF(C26&gt;0,CEILING(C26+0.58,1)*J26,0)</f>
        <v>0</v>
      </c>
      <c r="L26" s="28"/>
      <c r="M26" s="27">
        <f t="shared" ref="M26:M27" si="29">IF(C26&gt;0,CEILING(C26+0.58,1)*L26,0)</f>
        <v>0</v>
      </c>
      <c r="N26" s="28">
        <v>2</v>
      </c>
      <c r="O26" s="72">
        <v>2</v>
      </c>
      <c r="P26" s="72">
        <f t="shared" ref="P26:P51" si="30">N26*O26</f>
        <v>4</v>
      </c>
      <c r="Q26" s="27">
        <f t="shared" ref="Q26:Q27" si="31">IF(C26&gt;0,CEILING(C26+0.58,1)*P26,0)</f>
        <v>104</v>
      </c>
      <c r="R26" s="157" t="s">
        <v>184</v>
      </c>
      <c r="S26" s="73">
        <f t="shared" si="10"/>
        <v>0.61460000000000004</v>
      </c>
      <c r="T26" s="25">
        <f t="shared" si="11"/>
        <v>15.426460000000002</v>
      </c>
      <c r="U26" s="235" t="s">
        <v>184</v>
      </c>
      <c r="V26" s="25">
        <f t="shared" si="12"/>
        <v>0.93789999999999996</v>
      </c>
      <c r="W26" s="25">
        <f>C26*V26</f>
        <v>23.54129</v>
      </c>
      <c r="X26" s="25">
        <f t="shared" ref="X26:X95" si="32">IF(C26&gt;0,H26*0.3+J26*0.4+L26*0.4+N26*0.4+0.5+0.8,0)</f>
        <v>2.1</v>
      </c>
      <c r="Y26" s="29">
        <f t="shared" ref="Y26:Y71" si="33">C26*X26*0.1</f>
        <v>5.2710000000000008</v>
      </c>
      <c r="Z26" s="160"/>
      <c r="AA26" s="279" t="s">
        <v>184</v>
      </c>
      <c r="AB26" s="76">
        <f t="shared" si="13"/>
        <v>52.710000000000008</v>
      </c>
      <c r="AC26" s="279" t="s">
        <v>183</v>
      </c>
      <c r="AD26" s="161">
        <f t="shared" si="14"/>
        <v>0</v>
      </c>
      <c r="AE26" s="163">
        <f t="shared" si="15"/>
        <v>52.710000000000008</v>
      </c>
      <c r="AF26" s="76">
        <f t="shared" si="16"/>
        <v>123.8685</v>
      </c>
      <c r="AG26" s="161">
        <f t="shared" si="17"/>
        <v>140.05800000000002</v>
      </c>
      <c r="AH26" s="235" t="s">
        <v>184</v>
      </c>
      <c r="AI26" s="167">
        <f t="shared" si="18"/>
        <v>123.8685</v>
      </c>
      <c r="AJ26" s="174">
        <f t="shared" ref="AJ26:AJ27" si="34">AI26*2</f>
        <v>247.73699999999999</v>
      </c>
      <c r="AK26" s="167" t="str">
        <f t="shared" si="20"/>
        <v>stezka</v>
      </c>
      <c r="AL26" s="167">
        <f t="shared" si="0"/>
        <v>1</v>
      </c>
      <c r="AM26" s="167">
        <f t="shared" si="1"/>
        <v>6.3249999999999993</v>
      </c>
      <c r="AN26" s="167">
        <f t="shared" si="21"/>
        <v>158.75749999999999</v>
      </c>
      <c r="AO26" s="167">
        <f t="shared" si="2"/>
        <v>5.1149999999999993</v>
      </c>
      <c r="AP26" s="167">
        <f t="shared" si="3"/>
        <v>128.38649999999998</v>
      </c>
      <c r="AQ26" s="157" t="s">
        <v>184</v>
      </c>
      <c r="AR26" s="285">
        <f t="shared" si="22"/>
        <v>92.367999999999995</v>
      </c>
      <c r="AS26" s="285">
        <f t="shared" si="23"/>
        <v>236.69299999999998</v>
      </c>
      <c r="AT26" s="284"/>
      <c r="AU26" s="285">
        <f t="shared" si="4"/>
        <v>0</v>
      </c>
      <c r="AV26" s="184"/>
      <c r="AW26" s="186"/>
      <c r="AX26" t="str">
        <f t="shared" si="5"/>
        <v>Š06-Š08</v>
      </c>
    </row>
    <row r="27" spans="1:66" ht="15.75" x14ac:dyDescent="0.25">
      <c r="A27">
        <f t="shared" si="24"/>
        <v>4</v>
      </c>
      <c r="B27" s="84" t="s">
        <v>238</v>
      </c>
      <c r="C27" s="192">
        <v>27.3</v>
      </c>
      <c r="D27" s="25">
        <f t="shared" si="25"/>
        <v>27.88</v>
      </c>
      <c r="E27" s="236" t="s">
        <v>127</v>
      </c>
      <c r="F27" s="113"/>
      <c r="G27" s="113">
        <f t="shared" si="26"/>
        <v>0.9</v>
      </c>
      <c r="H27" s="28"/>
      <c r="I27" s="27">
        <f t="shared" si="27"/>
        <v>0</v>
      </c>
      <c r="J27" s="118"/>
      <c r="K27" s="113">
        <f t="shared" si="28"/>
        <v>0</v>
      </c>
      <c r="L27" s="28"/>
      <c r="M27" s="27">
        <f t="shared" si="29"/>
        <v>0</v>
      </c>
      <c r="N27" s="28">
        <v>2</v>
      </c>
      <c r="O27" s="72">
        <v>2</v>
      </c>
      <c r="P27" s="72">
        <f t="shared" si="30"/>
        <v>4</v>
      </c>
      <c r="Q27" s="27">
        <f t="shared" si="31"/>
        <v>112</v>
      </c>
      <c r="R27" s="157" t="s">
        <v>184</v>
      </c>
      <c r="S27" s="73">
        <f>IF(R27="ano",(N27*0.45+0.25)*(O27*0.45+0.15)-(N27*0.385)*(O27*0.385),0)+0.35</f>
        <v>0.96460000000000001</v>
      </c>
      <c r="T27" s="25">
        <f t="shared" si="11"/>
        <v>26.333580000000001</v>
      </c>
      <c r="U27" s="235" t="s">
        <v>184</v>
      </c>
      <c r="V27" s="25">
        <f t="shared" si="12"/>
        <v>0.58789999999999998</v>
      </c>
      <c r="W27" s="25">
        <f t="shared" ref="W27" si="35">C27*V27</f>
        <v>16.049669999999999</v>
      </c>
      <c r="X27" s="25">
        <f t="shared" si="32"/>
        <v>2.1</v>
      </c>
      <c r="Y27" s="29">
        <f t="shared" si="33"/>
        <v>5.7330000000000005</v>
      </c>
      <c r="Z27" s="160"/>
      <c r="AA27" s="279" t="s">
        <v>184</v>
      </c>
      <c r="AB27" s="76">
        <f t="shared" si="13"/>
        <v>57.330000000000005</v>
      </c>
      <c r="AC27" s="279" t="s">
        <v>183</v>
      </c>
      <c r="AD27" s="161">
        <f t="shared" si="14"/>
        <v>0</v>
      </c>
      <c r="AE27" s="163">
        <f t="shared" si="15"/>
        <v>57.330000000000005</v>
      </c>
      <c r="AF27" s="76">
        <f t="shared" si="16"/>
        <v>134.72549999999998</v>
      </c>
      <c r="AG27" s="161">
        <f t="shared" si="17"/>
        <v>152.334</v>
      </c>
      <c r="AH27" s="235" t="s">
        <v>184</v>
      </c>
      <c r="AI27" s="167">
        <f t="shared" si="18"/>
        <v>134.72549999999998</v>
      </c>
      <c r="AJ27" s="174">
        <f t="shared" si="34"/>
        <v>269.45099999999996</v>
      </c>
      <c r="AK27" s="167" t="str">
        <f t="shared" si="20"/>
        <v>stezka</v>
      </c>
      <c r="AL27" s="167">
        <f t="shared" si="0"/>
        <v>1</v>
      </c>
      <c r="AM27" s="167">
        <f t="shared" si="1"/>
        <v>6.3249999999999993</v>
      </c>
      <c r="AN27" s="167">
        <f t="shared" si="21"/>
        <v>172.67249999999999</v>
      </c>
      <c r="AO27" s="167">
        <f t="shared" si="2"/>
        <v>5.1149999999999993</v>
      </c>
      <c r="AP27" s="167">
        <f t="shared" si="3"/>
        <v>139.6395</v>
      </c>
      <c r="AQ27" s="157" t="s">
        <v>184</v>
      </c>
      <c r="AR27" s="285">
        <f t="shared" si="22"/>
        <v>100.46400000000001</v>
      </c>
      <c r="AS27" s="285">
        <f t="shared" si="23"/>
        <v>257.43899999999996</v>
      </c>
      <c r="AT27" s="284"/>
      <c r="AU27" s="285">
        <f t="shared" si="4"/>
        <v>0</v>
      </c>
      <c r="AV27" s="184"/>
      <c r="AW27" s="186"/>
      <c r="AX27" t="str">
        <f t="shared" si="5"/>
        <v>Stáv. Š05-Š07</v>
      </c>
    </row>
    <row r="28" spans="1:66" ht="15.75" x14ac:dyDescent="0.25">
      <c r="A28">
        <f t="shared" si="24"/>
        <v>5</v>
      </c>
      <c r="B28" s="84" t="s">
        <v>54</v>
      </c>
      <c r="C28" s="192">
        <v>29.8</v>
      </c>
      <c r="D28" s="25">
        <f t="shared" si="6"/>
        <v>30.38</v>
      </c>
      <c r="E28" s="236" t="s">
        <v>127</v>
      </c>
      <c r="F28" s="113"/>
      <c r="G28" s="113">
        <f t="shared" si="26"/>
        <v>0.9</v>
      </c>
      <c r="H28" s="28"/>
      <c r="I28" s="27">
        <f t="shared" ref="I28:I36" si="36">IF(C28&gt;0,CEILING(C28+0.58,1)*H28,0)</f>
        <v>0</v>
      </c>
      <c r="J28" s="118"/>
      <c r="K28" s="113">
        <f t="shared" si="7"/>
        <v>0</v>
      </c>
      <c r="L28" s="28"/>
      <c r="M28" s="27">
        <f t="shared" si="8"/>
        <v>0</v>
      </c>
      <c r="N28" s="28">
        <v>2</v>
      </c>
      <c r="O28" s="72">
        <v>2</v>
      </c>
      <c r="P28" s="72">
        <f t="shared" si="30"/>
        <v>4</v>
      </c>
      <c r="Q28" s="27">
        <f t="shared" si="9"/>
        <v>124</v>
      </c>
      <c r="R28" s="157" t="s">
        <v>184</v>
      </c>
      <c r="S28" s="73">
        <f t="shared" si="10"/>
        <v>0.61460000000000004</v>
      </c>
      <c r="T28" s="25">
        <f t="shared" si="11"/>
        <v>18.315080000000002</v>
      </c>
      <c r="U28" s="235" t="s">
        <v>184</v>
      </c>
      <c r="V28" s="25">
        <f t="shared" si="12"/>
        <v>0.93789999999999996</v>
      </c>
      <c r="W28" s="25">
        <f t="shared" ref="W28:W52" si="37">C28*V28</f>
        <v>27.94942</v>
      </c>
      <c r="X28" s="25">
        <f t="shared" si="32"/>
        <v>2.1</v>
      </c>
      <c r="Y28" s="29">
        <f t="shared" si="33"/>
        <v>6.2580000000000009</v>
      </c>
      <c r="Z28" s="160"/>
      <c r="AA28" s="279" t="s">
        <v>184</v>
      </c>
      <c r="AB28" s="76">
        <f t="shared" si="13"/>
        <v>62.580000000000005</v>
      </c>
      <c r="AC28" s="279" t="s">
        <v>184</v>
      </c>
      <c r="AD28" s="161">
        <f t="shared" si="14"/>
        <v>80.460000000000022</v>
      </c>
      <c r="AE28" s="163">
        <f t="shared" si="15"/>
        <v>62.580000000000005</v>
      </c>
      <c r="AF28" s="76">
        <f t="shared" si="16"/>
        <v>147.06299999999999</v>
      </c>
      <c r="AG28" s="161">
        <f t="shared" si="17"/>
        <v>166.28400000000002</v>
      </c>
      <c r="AH28" s="235" t="s">
        <v>184</v>
      </c>
      <c r="AI28" s="167">
        <f t="shared" si="18"/>
        <v>147.06299999999999</v>
      </c>
      <c r="AJ28" s="174">
        <f t="shared" si="19"/>
        <v>294.12599999999998</v>
      </c>
      <c r="AK28" s="167" t="str">
        <f t="shared" si="20"/>
        <v>stezka</v>
      </c>
      <c r="AL28" s="167">
        <f t="shared" si="0"/>
        <v>1</v>
      </c>
      <c r="AM28" s="167">
        <f t="shared" si="1"/>
        <v>6.3249999999999993</v>
      </c>
      <c r="AN28" s="167">
        <f t="shared" si="21"/>
        <v>188.48499999999999</v>
      </c>
      <c r="AO28" s="167">
        <f t="shared" si="2"/>
        <v>5.1149999999999993</v>
      </c>
      <c r="AP28" s="167">
        <f t="shared" si="3"/>
        <v>152.42699999999999</v>
      </c>
      <c r="AQ28" s="157" t="s">
        <v>184</v>
      </c>
      <c r="AR28" s="285">
        <f t="shared" si="22"/>
        <v>109.664</v>
      </c>
      <c r="AS28" s="285">
        <f t="shared" si="23"/>
        <v>281.01399999999995</v>
      </c>
      <c r="AT28" s="284"/>
      <c r="AU28" s="285">
        <f t="shared" si="4"/>
        <v>0</v>
      </c>
      <c r="AV28" s="184"/>
      <c r="AW28" s="186"/>
      <c r="AX28" t="str">
        <f t="shared" si="5"/>
        <v>Š07-Š08</v>
      </c>
    </row>
    <row r="29" spans="1:66" ht="15.75" x14ac:dyDescent="0.25">
      <c r="A29">
        <f t="shared" si="24"/>
        <v>6</v>
      </c>
      <c r="B29" s="84" t="s">
        <v>55</v>
      </c>
      <c r="C29" s="192">
        <v>15.42</v>
      </c>
      <c r="D29" s="25">
        <f t="shared" si="6"/>
        <v>16</v>
      </c>
      <c r="E29" s="236" t="s">
        <v>127</v>
      </c>
      <c r="F29" s="113"/>
      <c r="G29" s="113">
        <f t="shared" ref="G29:G30" si="38">IF(O29&gt;0,O29*0.45,O29*0.45)</f>
        <v>1.35</v>
      </c>
      <c r="H29" s="28"/>
      <c r="I29" s="27">
        <f t="shared" si="36"/>
        <v>0</v>
      </c>
      <c r="J29" s="118"/>
      <c r="K29" s="113">
        <f t="shared" si="7"/>
        <v>0</v>
      </c>
      <c r="L29" s="28"/>
      <c r="M29" s="27">
        <f t="shared" si="8"/>
        <v>0</v>
      </c>
      <c r="N29" s="28">
        <v>2</v>
      </c>
      <c r="O29" s="72">
        <v>3</v>
      </c>
      <c r="P29" s="72">
        <f t="shared" si="30"/>
        <v>6</v>
      </c>
      <c r="Q29" s="27">
        <f t="shared" si="9"/>
        <v>96</v>
      </c>
      <c r="R29" s="157" t="s">
        <v>184</v>
      </c>
      <c r="S29" s="73">
        <f t="shared" si="10"/>
        <v>0.83564999999999978</v>
      </c>
      <c r="T29" s="25">
        <f t="shared" si="11"/>
        <v>12.885722999999997</v>
      </c>
      <c r="U29" s="235" t="s">
        <v>184</v>
      </c>
      <c r="V29" s="25">
        <f t="shared" si="12"/>
        <v>1.3243500000000004</v>
      </c>
      <c r="W29" s="25">
        <f t="shared" si="37"/>
        <v>20.421477000000007</v>
      </c>
      <c r="X29" s="25">
        <f t="shared" si="32"/>
        <v>2.1</v>
      </c>
      <c r="Y29" s="29">
        <f t="shared" si="33"/>
        <v>3.2382</v>
      </c>
      <c r="Z29" s="160"/>
      <c r="AA29" s="279" t="s">
        <v>184</v>
      </c>
      <c r="AB29" s="76">
        <f t="shared" si="13"/>
        <v>32.381999999999998</v>
      </c>
      <c r="AC29" s="279" t="s">
        <v>183</v>
      </c>
      <c r="AD29" s="161">
        <f t="shared" si="14"/>
        <v>0</v>
      </c>
      <c r="AE29" s="163">
        <f t="shared" si="15"/>
        <v>32.381999999999998</v>
      </c>
      <c r="AF29" s="76">
        <f t="shared" si="16"/>
        <v>99.150599999999997</v>
      </c>
      <c r="AG29" s="161">
        <f t="shared" si="17"/>
        <v>109.09649999999999</v>
      </c>
      <c r="AH29" s="235" t="s">
        <v>184</v>
      </c>
      <c r="AI29" s="167">
        <f t="shared" si="18"/>
        <v>99.150599999999997</v>
      </c>
      <c r="AJ29" s="174">
        <f t="shared" si="19"/>
        <v>198.30119999999999</v>
      </c>
      <c r="AK29" s="167" t="str">
        <f t="shared" si="20"/>
        <v>stezka</v>
      </c>
      <c r="AL29" s="167">
        <f t="shared" si="0"/>
        <v>1</v>
      </c>
      <c r="AM29" s="167">
        <f t="shared" si="1"/>
        <v>7.8199999999999994</v>
      </c>
      <c r="AN29" s="167">
        <f t="shared" si="21"/>
        <v>120.58439999999999</v>
      </c>
      <c r="AO29" s="167">
        <f t="shared" si="2"/>
        <v>6.1099999999999994</v>
      </c>
      <c r="AP29" s="167">
        <f t="shared" si="3"/>
        <v>94.216199999999986</v>
      </c>
      <c r="AQ29" s="157" t="s">
        <v>184</v>
      </c>
      <c r="AR29" s="285">
        <f t="shared" si="22"/>
        <v>79.79849999999999</v>
      </c>
      <c r="AS29" s="285">
        <f t="shared" si="23"/>
        <v>168.46350000000001</v>
      </c>
      <c r="AT29" s="284"/>
      <c r="AU29" s="285">
        <f t="shared" si="4"/>
        <v>0</v>
      </c>
      <c r="AV29" s="184"/>
      <c r="AW29" s="186"/>
      <c r="AX29" t="str">
        <f t="shared" si="5"/>
        <v>Š08-Š09</v>
      </c>
    </row>
    <row r="30" spans="1:66" ht="15.75" x14ac:dyDescent="0.25">
      <c r="A30">
        <f t="shared" si="24"/>
        <v>7</v>
      </c>
      <c r="B30" s="84" t="s">
        <v>56</v>
      </c>
      <c r="C30" s="192">
        <v>39.4</v>
      </c>
      <c r="D30" s="25">
        <f t="shared" si="6"/>
        <v>39.979999999999997</v>
      </c>
      <c r="E30" s="236" t="s">
        <v>127</v>
      </c>
      <c r="F30" s="113"/>
      <c r="G30" s="113">
        <f t="shared" si="38"/>
        <v>1.35</v>
      </c>
      <c r="H30" s="28"/>
      <c r="I30" s="27">
        <f t="shared" si="36"/>
        <v>0</v>
      </c>
      <c r="J30" s="118"/>
      <c r="K30" s="113">
        <f t="shared" si="7"/>
        <v>0</v>
      </c>
      <c r="L30" s="28"/>
      <c r="M30" s="27">
        <f t="shared" si="8"/>
        <v>0</v>
      </c>
      <c r="N30" s="28">
        <v>2</v>
      </c>
      <c r="O30" s="72">
        <v>3</v>
      </c>
      <c r="P30" s="72">
        <f t="shared" si="30"/>
        <v>6</v>
      </c>
      <c r="Q30" s="27">
        <f t="shared" si="9"/>
        <v>240</v>
      </c>
      <c r="R30" s="157" t="s">
        <v>184</v>
      </c>
      <c r="S30" s="73">
        <f t="shared" si="10"/>
        <v>0.83564999999999978</v>
      </c>
      <c r="T30" s="25">
        <f t="shared" si="11"/>
        <v>32.924609999999987</v>
      </c>
      <c r="U30" s="235" t="s">
        <v>184</v>
      </c>
      <c r="V30" s="25">
        <f t="shared" si="12"/>
        <v>1.3243500000000004</v>
      </c>
      <c r="W30" s="25">
        <f t="shared" si="37"/>
        <v>52.179390000000012</v>
      </c>
      <c r="X30" s="25">
        <f t="shared" si="32"/>
        <v>2.1</v>
      </c>
      <c r="Y30" s="29">
        <f t="shared" si="33"/>
        <v>8.2739999999999991</v>
      </c>
      <c r="Z30" s="160"/>
      <c r="AA30" s="279" t="s">
        <v>184</v>
      </c>
      <c r="AB30" s="76">
        <f t="shared" si="13"/>
        <v>82.74</v>
      </c>
      <c r="AC30" s="279" t="s">
        <v>183</v>
      </c>
      <c r="AD30" s="161">
        <f t="shared" si="14"/>
        <v>0</v>
      </c>
      <c r="AE30" s="163">
        <f t="shared" si="15"/>
        <v>82.74</v>
      </c>
      <c r="AF30" s="76">
        <f t="shared" si="16"/>
        <v>253.34199999999998</v>
      </c>
      <c r="AG30" s="161">
        <f t="shared" si="17"/>
        <v>278.75499999999994</v>
      </c>
      <c r="AH30" s="235" t="s">
        <v>184</v>
      </c>
      <c r="AI30" s="167">
        <f t="shared" si="18"/>
        <v>253.34199999999998</v>
      </c>
      <c r="AJ30" s="174">
        <f t="shared" si="19"/>
        <v>506.68399999999997</v>
      </c>
      <c r="AK30" s="167" t="str">
        <f t="shared" si="20"/>
        <v>stezka</v>
      </c>
      <c r="AL30" s="167">
        <f t="shared" si="0"/>
        <v>1</v>
      </c>
      <c r="AM30" s="167">
        <f t="shared" si="1"/>
        <v>7.8199999999999994</v>
      </c>
      <c r="AN30" s="167">
        <f t="shared" si="21"/>
        <v>308.10799999999995</v>
      </c>
      <c r="AO30" s="167">
        <f t="shared" si="2"/>
        <v>6.1099999999999994</v>
      </c>
      <c r="AP30" s="167">
        <f t="shared" si="3"/>
        <v>240.73399999999998</v>
      </c>
      <c r="AQ30" s="157" t="s">
        <v>184</v>
      </c>
      <c r="AR30" s="285">
        <f t="shared" si="22"/>
        <v>203.89499999999995</v>
      </c>
      <c r="AS30" s="285">
        <f t="shared" si="23"/>
        <v>430.44499999999999</v>
      </c>
      <c r="AT30" s="284"/>
      <c r="AU30" s="285">
        <f t="shared" si="4"/>
        <v>0</v>
      </c>
      <c r="AV30" s="184"/>
      <c r="AW30" s="186"/>
      <c r="AX30" t="str">
        <f t="shared" si="5"/>
        <v>Š09-Š10</v>
      </c>
    </row>
    <row r="31" spans="1:66" ht="15.75" x14ac:dyDescent="0.25">
      <c r="A31">
        <f t="shared" si="24"/>
        <v>8</v>
      </c>
      <c r="B31" s="84" t="s">
        <v>223</v>
      </c>
      <c r="C31" s="192">
        <v>33.69</v>
      </c>
      <c r="D31" s="25">
        <f t="shared" si="6"/>
        <v>34.269999999999996</v>
      </c>
      <c r="E31" s="236" t="s">
        <v>127</v>
      </c>
      <c r="F31" s="113"/>
      <c r="G31" s="113">
        <f t="shared" si="26"/>
        <v>1.35</v>
      </c>
      <c r="H31" s="28"/>
      <c r="I31" s="27">
        <f t="shared" si="36"/>
        <v>0</v>
      </c>
      <c r="J31" s="118"/>
      <c r="K31" s="113">
        <f t="shared" si="7"/>
        <v>0</v>
      </c>
      <c r="L31" s="28"/>
      <c r="M31" s="27">
        <f t="shared" si="8"/>
        <v>0</v>
      </c>
      <c r="N31" s="28">
        <v>2</v>
      </c>
      <c r="O31" s="72">
        <v>3</v>
      </c>
      <c r="P31" s="72">
        <f t="shared" si="30"/>
        <v>6</v>
      </c>
      <c r="Q31" s="27">
        <f t="shared" si="9"/>
        <v>210</v>
      </c>
      <c r="R31" s="157" t="s">
        <v>184</v>
      </c>
      <c r="S31" s="73">
        <f t="shared" si="10"/>
        <v>0.83564999999999978</v>
      </c>
      <c r="T31" s="25">
        <f t="shared" si="11"/>
        <v>28.15304849999999</v>
      </c>
      <c r="U31" s="235" t="s">
        <v>184</v>
      </c>
      <c r="V31" s="25">
        <f t="shared" si="12"/>
        <v>1.3243500000000004</v>
      </c>
      <c r="W31" s="25">
        <f t="shared" si="37"/>
        <v>44.617351500000012</v>
      </c>
      <c r="X31" s="25">
        <f t="shared" si="32"/>
        <v>2.1</v>
      </c>
      <c r="Y31" s="29">
        <f t="shared" si="33"/>
        <v>7.0748999999999995</v>
      </c>
      <c r="Z31" s="160"/>
      <c r="AA31" s="279" t="s">
        <v>184</v>
      </c>
      <c r="AB31" s="76">
        <f t="shared" si="13"/>
        <v>70.748999999999995</v>
      </c>
      <c r="AC31" s="279" t="s">
        <v>183</v>
      </c>
      <c r="AD31" s="161">
        <f t="shared" si="14"/>
        <v>0</v>
      </c>
      <c r="AE31" s="163">
        <f t="shared" si="15"/>
        <v>70.748999999999995</v>
      </c>
      <c r="AF31" s="76">
        <f t="shared" si="16"/>
        <v>216.62669999999997</v>
      </c>
      <c r="AG31" s="161">
        <f t="shared" si="17"/>
        <v>238.35674999999995</v>
      </c>
      <c r="AH31" s="235" t="s">
        <v>184</v>
      </c>
      <c r="AI31" s="167">
        <f t="shared" si="18"/>
        <v>216.62669999999997</v>
      </c>
      <c r="AJ31" s="174">
        <f t="shared" si="19"/>
        <v>433.25339999999994</v>
      </c>
      <c r="AK31" s="167" t="str">
        <f t="shared" si="20"/>
        <v>stezka</v>
      </c>
      <c r="AL31" s="167">
        <f t="shared" si="0"/>
        <v>1</v>
      </c>
      <c r="AM31" s="167">
        <f t="shared" si="1"/>
        <v>7.8199999999999994</v>
      </c>
      <c r="AN31" s="167">
        <f t="shared" si="21"/>
        <v>263.45579999999995</v>
      </c>
      <c r="AO31" s="167">
        <f t="shared" si="2"/>
        <v>6.1099999999999994</v>
      </c>
      <c r="AP31" s="167">
        <f t="shared" si="3"/>
        <v>205.84589999999997</v>
      </c>
      <c r="AQ31" s="157" t="s">
        <v>184</v>
      </c>
      <c r="AR31" s="285">
        <f t="shared" si="22"/>
        <v>174.34574999999998</v>
      </c>
      <c r="AS31" s="285">
        <f t="shared" si="23"/>
        <v>368.06324999999993</v>
      </c>
      <c r="AT31" s="284"/>
      <c r="AU31" s="285">
        <f t="shared" si="4"/>
        <v>0</v>
      </c>
      <c r="AV31" s="184"/>
      <c r="AW31" s="186"/>
      <c r="AX31" t="str">
        <f t="shared" si="5"/>
        <v>Š10-Š11</v>
      </c>
    </row>
    <row r="32" spans="1:66" ht="15.75" x14ac:dyDescent="0.25">
      <c r="A32">
        <f t="shared" si="24"/>
        <v>9</v>
      </c>
      <c r="B32" s="84" t="s">
        <v>224</v>
      </c>
      <c r="C32" s="192">
        <v>30.17</v>
      </c>
      <c r="D32" s="25">
        <f t="shared" si="6"/>
        <v>30.75</v>
      </c>
      <c r="E32" s="236" t="s">
        <v>127</v>
      </c>
      <c r="F32" s="113"/>
      <c r="G32" s="113">
        <f t="shared" si="26"/>
        <v>1.35</v>
      </c>
      <c r="H32" s="28"/>
      <c r="I32" s="27">
        <f t="shared" si="36"/>
        <v>0</v>
      </c>
      <c r="J32" s="118"/>
      <c r="K32" s="113">
        <f t="shared" si="7"/>
        <v>0</v>
      </c>
      <c r="L32" s="28"/>
      <c r="M32" s="27">
        <f t="shared" si="8"/>
        <v>0</v>
      </c>
      <c r="N32" s="28">
        <v>2</v>
      </c>
      <c r="O32" s="72">
        <v>3</v>
      </c>
      <c r="P32" s="72">
        <f t="shared" si="30"/>
        <v>6</v>
      </c>
      <c r="Q32" s="27">
        <f t="shared" si="9"/>
        <v>186</v>
      </c>
      <c r="R32" s="157" t="s">
        <v>184</v>
      </c>
      <c r="S32" s="73">
        <f t="shared" si="10"/>
        <v>0.83564999999999978</v>
      </c>
      <c r="T32" s="25">
        <f t="shared" si="11"/>
        <v>25.211560499999994</v>
      </c>
      <c r="U32" s="235" t="s">
        <v>184</v>
      </c>
      <c r="V32" s="25">
        <f t="shared" si="12"/>
        <v>1.3243500000000004</v>
      </c>
      <c r="W32" s="25">
        <f t="shared" si="37"/>
        <v>39.955639500000011</v>
      </c>
      <c r="X32" s="25">
        <f t="shared" si="32"/>
        <v>2.1</v>
      </c>
      <c r="Y32" s="29">
        <f t="shared" si="33"/>
        <v>6.335700000000001</v>
      </c>
      <c r="Z32" s="160"/>
      <c r="AA32" s="279" t="s">
        <v>184</v>
      </c>
      <c r="AB32" s="76">
        <f t="shared" si="13"/>
        <v>63.357000000000006</v>
      </c>
      <c r="AC32" s="279" t="s">
        <v>183</v>
      </c>
      <c r="AD32" s="161">
        <f t="shared" si="14"/>
        <v>0</v>
      </c>
      <c r="AE32" s="163">
        <f t="shared" si="15"/>
        <v>63.357000000000006</v>
      </c>
      <c r="AF32" s="76">
        <f t="shared" si="16"/>
        <v>193.9931</v>
      </c>
      <c r="AG32" s="161">
        <f t="shared" si="17"/>
        <v>213.45274999999998</v>
      </c>
      <c r="AH32" s="235" t="s">
        <v>184</v>
      </c>
      <c r="AI32" s="167">
        <f t="shared" si="18"/>
        <v>193.9931</v>
      </c>
      <c r="AJ32" s="174">
        <f t="shared" si="19"/>
        <v>387.9862</v>
      </c>
      <c r="AK32" s="167" t="str">
        <f t="shared" si="20"/>
        <v>stezka</v>
      </c>
      <c r="AL32" s="167">
        <f t="shared" si="0"/>
        <v>1</v>
      </c>
      <c r="AM32" s="167">
        <f t="shared" si="1"/>
        <v>7.8199999999999994</v>
      </c>
      <c r="AN32" s="167">
        <f t="shared" si="21"/>
        <v>235.92939999999999</v>
      </c>
      <c r="AO32" s="167">
        <f t="shared" si="2"/>
        <v>6.1099999999999994</v>
      </c>
      <c r="AP32" s="167">
        <f t="shared" si="3"/>
        <v>184.33869999999999</v>
      </c>
      <c r="AQ32" s="157" t="s">
        <v>184</v>
      </c>
      <c r="AR32" s="285">
        <f t="shared" si="22"/>
        <v>156.12975</v>
      </c>
      <c r="AS32" s="285">
        <f t="shared" si="23"/>
        <v>329.60724999999996</v>
      </c>
      <c r="AT32" s="284"/>
      <c r="AU32" s="285">
        <f t="shared" si="4"/>
        <v>0</v>
      </c>
      <c r="AV32" s="184"/>
      <c r="AW32" s="186"/>
      <c r="AX32" t="str">
        <f t="shared" si="5"/>
        <v>Š11-Š12</v>
      </c>
    </row>
    <row r="33" spans="1:50" ht="15.75" x14ac:dyDescent="0.25">
      <c r="A33">
        <f t="shared" si="24"/>
        <v>10</v>
      </c>
      <c r="B33" s="84" t="s">
        <v>126</v>
      </c>
      <c r="C33" s="192">
        <v>25.97</v>
      </c>
      <c r="D33" s="25">
        <f t="shared" ref="D33" si="39">IF(C33&gt;0,C33+0.58,0)</f>
        <v>26.549999999999997</v>
      </c>
      <c r="E33" s="236" t="s">
        <v>127</v>
      </c>
      <c r="F33" s="113"/>
      <c r="G33" s="113">
        <f t="shared" si="26"/>
        <v>1.35</v>
      </c>
      <c r="H33" s="28"/>
      <c r="I33" s="27">
        <f t="shared" ref="I33" si="40">IF(C33&gt;0,CEILING(C33+0.58,1)*H33,0)</f>
        <v>0</v>
      </c>
      <c r="J33" s="118"/>
      <c r="K33" s="113">
        <f t="shared" ref="K33" si="41">IF(C33&gt;0,CEILING(C33+0.58,1)*J33,0)</f>
        <v>0</v>
      </c>
      <c r="L33" s="28"/>
      <c r="M33" s="27">
        <f t="shared" ref="M33" si="42">IF(C33&gt;0,CEILING(C33+0.58,1)*L33,0)</f>
        <v>0</v>
      </c>
      <c r="N33" s="28">
        <v>2</v>
      </c>
      <c r="O33" s="72">
        <v>3</v>
      </c>
      <c r="P33" s="72">
        <f t="shared" si="30"/>
        <v>6</v>
      </c>
      <c r="Q33" s="27">
        <f t="shared" ref="Q33" si="43">IF(C33&gt;0,CEILING(C33+0.58,1)*P33,0)</f>
        <v>162</v>
      </c>
      <c r="R33" s="157" t="s">
        <v>184</v>
      </c>
      <c r="S33" s="73">
        <f t="shared" si="10"/>
        <v>0.83564999999999978</v>
      </c>
      <c r="T33" s="25">
        <f t="shared" si="11"/>
        <v>21.701830499999993</v>
      </c>
      <c r="U33" s="235" t="s">
        <v>184</v>
      </c>
      <c r="V33" s="25">
        <f t="shared" si="12"/>
        <v>1.3243500000000004</v>
      </c>
      <c r="W33" s="25">
        <f t="shared" ref="W33" si="44">C33*V33</f>
        <v>34.393369500000006</v>
      </c>
      <c r="X33" s="25">
        <f t="shared" si="32"/>
        <v>2.1</v>
      </c>
      <c r="Y33" s="29">
        <f t="shared" si="33"/>
        <v>5.4537000000000004</v>
      </c>
      <c r="Z33" s="160"/>
      <c r="AA33" s="279" t="s">
        <v>184</v>
      </c>
      <c r="AB33" s="76">
        <f t="shared" si="13"/>
        <v>54.536999999999999</v>
      </c>
      <c r="AC33" s="279" t="s">
        <v>183</v>
      </c>
      <c r="AD33" s="161">
        <f t="shared" si="14"/>
        <v>0</v>
      </c>
      <c r="AE33" s="163">
        <f t="shared" si="15"/>
        <v>54.536999999999999</v>
      </c>
      <c r="AF33" s="76">
        <f t="shared" si="16"/>
        <v>166.9871</v>
      </c>
      <c r="AG33" s="161">
        <f t="shared" si="17"/>
        <v>183.73774999999998</v>
      </c>
      <c r="AH33" s="235" t="s">
        <v>184</v>
      </c>
      <c r="AI33" s="167">
        <f t="shared" si="18"/>
        <v>166.9871</v>
      </c>
      <c r="AJ33" s="174">
        <f t="shared" ref="AJ33" si="45">AI33*2</f>
        <v>333.9742</v>
      </c>
      <c r="AK33" s="167" t="str">
        <f t="shared" si="20"/>
        <v>stezka</v>
      </c>
      <c r="AL33" s="167">
        <f t="shared" si="0"/>
        <v>1</v>
      </c>
      <c r="AM33" s="167">
        <f t="shared" si="1"/>
        <v>7.8199999999999994</v>
      </c>
      <c r="AN33" s="167">
        <f t="shared" si="21"/>
        <v>203.08539999999996</v>
      </c>
      <c r="AO33" s="167">
        <f t="shared" si="2"/>
        <v>6.1099999999999994</v>
      </c>
      <c r="AP33" s="167">
        <f t="shared" si="3"/>
        <v>158.67669999999998</v>
      </c>
      <c r="AQ33" s="157" t="s">
        <v>184</v>
      </c>
      <c r="AR33" s="285">
        <f t="shared" si="22"/>
        <v>134.39474999999999</v>
      </c>
      <c r="AS33" s="285">
        <f t="shared" si="23"/>
        <v>283.72224999999997</v>
      </c>
      <c r="AT33" s="284"/>
      <c r="AU33" s="285">
        <f t="shared" si="4"/>
        <v>0</v>
      </c>
      <c r="AV33" s="184"/>
      <c r="AW33" s="186"/>
      <c r="AX33" t="str">
        <f t="shared" si="5"/>
        <v>Š12-Š13</v>
      </c>
    </row>
    <row r="34" spans="1:50" ht="15.75" x14ac:dyDescent="0.25">
      <c r="A34">
        <f t="shared" si="24"/>
        <v>11</v>
      </c>
      <c r="B34" s="84" t="s">
        <v>225</v>
      </c>
      <c r="C34" s="192">
        <v>30.89</v>
      </c>
      <c r="D34" s="25">
        <f t="shared" si="6"/>
        <v>31.47</v>
      </c>
      <c r="E34" s="236" t="s">
        <v>127</v>
      </c>
      <c r="F34" s="113"/>
      <c r="G34" s="113">
        <f t="shared" si="26"/>
        <v>1.35</v>
      </c>
      <c r="H34" s="28"/>
      <c r="I34" s="27">
        <f t="shared" si="36"/>
        <v>0</v>
      </c>
      <c r="J34" s="118"/>
      <c r="K34" s="113">
        <f t="shared" si="7"/>
        <v>0</v>
      </c>
      <c r="L34" s="28"/>
      <c r="M34" s="27">
        <f t="shared" si="8"/>
        <v>0</v>
      </c>
      <c r="N34" s="28">
        <v>2</v>
      </c>
      <c r="O34" s="72">
        <v>3</v>
      </c>
      <c r="P34" s="72">
        <f t="shared" si="30"/>
        <v>6</v>
      </c>
      <c r="Q34" s="27">
        <f t="shared" si="9"/>
        <v>192</v>
      </c>
      <c r="R34" s="157" t="s">
        <v>184</v>
      </c>
      <c r="S34" s="73">
        <f t="shared" si="10"/>
        <v>0.83564999999999978</v>
      </c>
      <c r="T34" s="25">
        <f t="shared" si="11"/>
        <v>25.813228499999994</v>
      </c>
      <c r="U34" s="235" t="s">
        <v>184</v>
      </c>
      <c r="V34" s="25">
        <f t="shared" si="12"/>
        <v>1.3243500000000004</v>
      </c>
      <c r="W34" s="25">
        <f t="shared" si="37"/>
        <v>40.909171500000014</v>
      </c>
      <c r="X34" s="25">
        <f t="shared" si="32"/>
        <v>2.1</v>
      </c>
      <c r="Y34" s="29">
        <f t="shared" si="33"/>
        <v>6.4869000000000003</v>
      </c>
      <c r="Z34" s="160"/>
      <c r="AA34" s="279" t="s">
        <v>184</v>
      </c>
      <c r="AB34" s="76">
        <f t="shared" si="13"/>
        <v>64.869</v>
      </c>
      <c r="AC34" s="279" t="s">
        <v>183</v>
      </c>
      <c r="AD34" s="161">
        <f t="shared" si="14"/>
        <v>0</v>
      </c>
      <c r="AE34" s="163">
        <f t="shared" si="15"/>
        <v>64.869</v>
      </c>
      <c r="AF34" s="76">
        <f t="shared" si="16"/>
        <v>198.62270000000001</v>
      </c>
      <c r="AG34" s="161">
        <f t="shared" si="17"/>
        <v>218.54674999999997</v>
      </c>
      <c r="AH34" s="235" t="s">
        <v>184</v>
      </c>
      <c r="AI34" s="167">
        <f t="shared" si="18"/>
        <v>198.62270000000001</v>
      </c>
      <c r="AJ34" s="174">
        <f t="shared" si="19"/>
        <v>397.24540000000002</v>
      </c>
      <c r="AK34" s="167" t="str">
        <f t="shared" si="20"/>
        <v>stezka</v>
      </c>
      <c r="AL34" s="167">
        <f t="shared" si="0"/>
        <v>1</v>
      </c>
      <c r="AM34" s="167">
        <f t="shared" si="1"/>
        <v>7.8199999999999994</v>
      </c>
      <c r="AN34" s="167">
        <f t="shared" si="21"/>
        <v>241.5598</v>
      </c>
      <c r="AO34" s="167">
        <f t="shared" si="2"/>
        <v>6.1099999999999994</v>
      </c>
      <c r="AP34" s="167">
        <f t="shared" si="3"/>
        <v>188.7379</v>
      </c>
      <c r="AQ34" s="157" t="s">
        <v>184</v>
      </c>
      <c r="AR34" s="285">
        <f t="shared" si="22"/>
        <v>159.85574999999997</v>
      </c>
      <c r="AS34" s="285">
        <f t="shared" si="23"/>
        <v>337.47324999999995</v>
      </c>
      <c r="AT34" s="284"/>
      <c r="AU34" s="285">
        <f t="shared" si="4"/>
        <v>0</v>
      </c>
      <c r="AV34" s="184"/>
      <c r="AW34" s="186"/>
      <c r="AX34" t="str">
        <f t="shared" si="5"/>
        <v>Š13-Š14</v>
      </c>
    </row>
    <row r="35" spans="1:50" ht="15.75" x14ac:dyDescent="0.25">
      <c r="A35">
        <f t="shared" si="24"/>
        <v>12</v>
      </c>
      <c r="B35" s="84" t="s">
        <v>226</v>
      </c>
      <c r="C35" s="214">
        <v>27.07</v>
      </c>
      <c r="D35" s="25">
        <f t="shared" si="6"/>
        <v>27.65</v>
      </c>
      <c r="E35" s="236" t="s">
        <v>127</v>
      </c>
      <c r="F35" s="113"/>
      <c r="G35" s="113">
        <f t="shared" si="26"/>
        <v>1.35</v>
      </c>
      <c r="H35" s="28"/>
      <c r="I35" s="27">
        <f t="shared" si="36"/>
        <v>0</v>
      </c>
      <c r="J35" s="118"/>
      <c r="K35" s="113">
        <f t="shared" si="7"/>
        <v>0</v>
      </c>
      <c r="L35" s="28"/>
      <c r="M35" s="27">
        <f t="shared" si="8"/>
        <v>0</v>
      </c>
      <c r="N35" s="28">
        <v>2</v>
      </c>
      <c r="O35" s="72">
        <v>3</v>
      </c>
      <c r="P35" s="72">
        <f t="shared" si="30"/>
        <v>6</v>
      </c>
      <c r="Q35" s="27">
        <f t="shared" si="9"/>
        <v>168</v>
      </c>
      <c r="R35" s="157" t="s">
        <v>184</v>
      </c>
      <c r="S35" s="73">
        <f t="shared" si="10"/>
        <v>0.83564999999999978</v>
      </c>
      <c r="T35" s="25">
        <f t="shared" si="11"/>
        <v>22.621045499999994</v>
      </c>
      <c r="U35" s="235" t="s">
        <v>184</v>
      </c>
      <c r="V35" s="25">
        <f t="shared" si="12"/>
        <v>1.3243500000000004</v>
      </c>
      <c r="W35" s="25">
        <f t="shared" si="37"/>
        <v>35.850154500000009</v>
      </c>
      <c r="X35" s="25">
        <f t="shared" si="32"/>
        <v>2.1</v>
      </c>
      <c r="Y35" s="29">
        <f t="shared" si="33"/>
        <v>5.6847000000000003</v>
      </c>
      <c r="Z35" s="160"/>
      <c r="AA35" s="279" t="s">
        <v>184</v>
      </c>
      <c r="AB35" s="76">
        <f t="shared" si="13"/>
        <v>56.847000000000001</v>
      </c>
      <c r="AC35" s="279" t="s">
        <v>183</v>
      </c>
      <c r="AD35" s="161">
        <f t="shared" si="14"/>
        <v>0</v>
      </c>
      <c r="AE35" s="163">
        <f t="shared" si="15"/>
        <v>56.847000000000001</v>
      </c>
      <c r="AF35" s="76">
        <f t="shared" si="16"/>
        <v>174.06010000000001</v>
      </c>
      <c r="AG35" s="161">
        <f t="shared" si="17"/>
        <v>191.52024999999998</v>
      </c>
      <c r="AH35" s="235" t="s">
        <v>184</v>
      </c>
      <c r="AI35" s="167">
        <f t="shared" si="18"/>
        <v>174.06010000000001</v>
      </c>
      <c r="AJ35" s="174">
        <f t="shared" si="19"/>
        <v>348.12020000000001</v>
      </c>
      <c r="AK35" s="167" t="str">
        <f t="shared" si="20"/>
        <v>stezka</v>
      </c>
      <c r="AL35" s="167">
        <f t="shared" si="0"/>
        <v>1</v>
      </c>
      <c r="AM35" s="167">
        <f t="shared" si="1"/>
        <v>7.8199999999999994</v>
      </c>
      <c r="AN35" s="167">
        <f t="shared" si="21"/>
        <v>211.6874</v>
      </c>
      <c r="AO35" s="167">
        <f t="shared" si="2"/>
        <v>6.1099999999999994</v>
      </c>
      <c r="AP35" s="167">
        <f t="shared" si="3"/>
        <v>165.39769999999999</v>
      </c>
      <c r="AQ35" s="157" t="s">
        <v>184</v>
      </c>
      <c r="AR35" s="285">
        <f t="shared" si="22"/>
        <v>140.08724999999998</v>
      </c>
      <c r="AS35" s="285">
        <f t="shared" si="23"/>
        <v>295.73975000000002</v>
      </c>
      <c r="AT35" s="284"/>
      <c r="AU35" s="285">
        <f t="shared" si="4"/>
        <v>0</v>
      </c>
      <c r="AV35" s="184"/>
      <c r="AW35" s="186"/>
      <c r="AX35" t="str">
        <f t="shared" si="5"/>
        <v>Š14-Š15</v>
      </c>
    </row>
    <row r="36" spans="1:50" ht="15.75" x14ac:dyDescent="0.25">
      <c r="A36">
        <f t="shared" si="24"/>
        <v>13</v>
      </c>
      <c r="B36" s="84" t="s">
        <v>227</v>
      </c>
      <c r="C36" s="192">
        <v>18.03</v>
      </c>
      <c r="D36" s="25">
        <f t="shared" si="6"/>
        <v>18.61</v>
      </c>
      <c r="E36" s="236" t="s">
        <v>127</v>
      </c>
      <c r="F36" s="113"/>
      <c r="G36" s="113">
        <f t="shared" ref="G36" si="46">IF(O36&gt;0,O36*0.45,O36*0.45)</f>
        <v>1.35</v>
      </c>
      <c r="H36" s="28"/>
      <c r="I36" s="27">
        <f t="shared" si="36"/>
        <v>0</v>
      </c>
      <c r="J36" s="118"/>
      <c r="K36" s="113">
        <f t="shared" si="7"/>
        <v>0</v>
      </c>
      <c r="L36" s="28"/>
      <c r="M36" s="27">
        <f t="shared" si="8"/>
        <v>0</v>
      </c>
      <c r="N36" s="28">
        <v>2</v>
      </c>
      <c r="O36" s="72">
        <v>3</v>
      </c>
      <c r="P36" s="72">
        <f t="shared" si="30"/>
        <v>6</v>
      </c>
      <c r="Q36" s="27">
        <f t="shared" si="9"/>
        <v>114</v>
      </c>
      <c r="R36" s="157" t="s">
        <v>184</v>
      </c>
      <c r="S36" s="73">
        <f t="shared" si="10"/>
        <v>0.83564999999999978</v>
      </c>
      <c r="T36" s="25">
        <f t="shared" si="11"/>
        <v>15.066769499999998</v>
      </c>
      <c r="U36" s="235" t="s">
        <v>184</v>
      </c>
      <c r="V36" s="25">
        <f t="shared" si="12"/>
        <v>1.3243500000000004</v>
      </c>
      <c r="W36" s="25">
        <f t="shared" si="37"/>
        <v>23.878030500000008</v>
      </c>
      <c r="X36" s="25">
        <f t="shared" si="32"/>
        <v>2.1</v>
      </c>
      <c r="Y36" s="29">
        <f t="shared" si="33"/>
        <v>3.7863000000000007</v>
      </c>
      <c r="Z36" s="160"/>
      <c r="AA36" s="279" t="s">
        <v>184</v>
      </c>
      <c r="AB36" s="76">
        <f t="shared" si="13"/>
        <v>37.863000000000007</v>
      </c>
      <c r="AC36" s="279" t="s">
        <v>183</v>
      </c>
      <c r="AD36" s="161">
        <f t="shared" si="14"/>
        <v>0</v>
      </c>
      <c r="AE36" s="163">
        <f t="shared" si="15"/>
        <v>37.863000000000007</v>
      </c>
      <c r="AF36" s="76">
        <f t="shared" si="16"/>
        <v>115.9329</v>
      </c>
      <c r="AG36" s="161">
        <f t="shared" si="17"/>
        <v>127.56224999999999</v>
      </c>
      <c r="AH36" s="235" t="s">
        <v>184</v>
      </c>
      <c r="AI36" s="167">
        <f t="shared" si="18"/>
        <v>115.9329</v>
      </c>
      <c r="AJ36" s="174">
        <f t="shared" si="19"/>
        <v>231.86580000000001</v>
      </c>
      <c r="AK36" s="167" t="str">
        <f t="shared" si="20"/>
        <v>stezka</v>
      </c>
      <c r="AL36" s="167">
        <f t="shared" si="0"/>
        <v>1</v>
      </c>
      <c r="AM36" s="167">
        <f t="shared" si="1"/>
        <v>7.8199999999999994</v>
      </c>
      <c r="AN36" s="167">
        <f t="shared" si="21"/>
        <v>140.99459999999999</v>
      </c>
      <c r="AO36" s="167">
        <f t="shared" si="2"/>
        <v>6.1099999999999994</v>
      </c>
      <c r="AP36" s="167">
        <f t="shared" si="3"/>
        <v>110.16329999999999</v>
      </c>
      <c r="AQ36" s="157" t="s">
        <v>184</v>
      </c>
      <c r="AR36" s="285">
        <f t="shared" si="22"/>
        <v>93.305250000000001</v>
      </c>
      <c r="AS36" s="285">
        <f t="shared" si="23"/>
        <v>196.97775000000001</v>
      </c>
      <c r="AT36" s="284"/>
      <c r="AU36" s="285">
        <f t="shared" si="4"/>
        <v>0</v>
      </c>
      <c r="AV36" s="184"/>
      <c r="AW36" s="186"/>
      <c r="AX36" t="str">
        <f t="shared" si="5"/>
        <v>Š15-Š16</v>
      </c>
    </row>
    <row r="37" spans="1:50" ht="15.75" x14ac:dyDescent="0.25">
      <c r="A37">
        <f t="shared" si="24"/>
        <v>14</v>
      </c>
      <c r="B37" s="303" t="s">
        <v>228</v>
      </c>
      <c r="C37" s="192">
        <v>6.03</v>
      </c>
      <c r="D37" s="25">
        <f t="shared" si="6"/>
        <v>6.61</v>
      </c>
      <c r="E37" s="237" t="s">
        <v>189</v>
      </c>
      <c r="F37" s="113"/>
      <c r="G37" s="113">
        <f t="shared" si="26"/>
        <v>0.9</v>
      </c>
      <c r="H37" s="28"/>
      <c r="I37" s="27">
        <f t="shared" ref="I37:I52" si="47">IF(C37&gt;0,CEILING(C37+0.58,1)*H37,0)</f>
        <v>0</v>
      </c>
      <c r="J37" s="118"/>
      <c r="K37" s="113">
        <f t="shared" ref="K37" si="48">IF(C37&gt;0,CEILING(C37+0.58,1)*J37,0)</f>
        <v>0</v>
      </c>
      <c r="L37" s="28"/>
      <c r="M37" s="27">
        <f t="shared" ref="M37:M41" si="49">IF(C37&gt;0,CEILING(C37+0.58,1)*L37,0)</f>
        <v>0</v>
      </c>
      <c r="N37" s="28">
        <v>2</v>
      </c>
      <c r="O37" s="72">
        <v>2</v>
      </c>
      <c r="P37" s="72">
        <f t="shared" si="30"/>
        <v>4</v>
      </c>
      <c r="Q37" s="27">
        <f t="shared" si="9"/>
        <v>28</v>
      </c>
      <c r="R37" s="157" t="s">
        <v>184</v>
      </c>
      <c r="S37" s="73">
        <f t="shared" si="10"/>
        <v>0.61460000000000004</v>
      </c>
      <c r="T37" s="25">
        <f t="shared" si="11"/>
        <v>3.7060380000000004</v>
      </c>
      <c r="U37" s="235" t="s">
        <v>183</v>
      </c>
      <c r="V37" s="25">
        <f t="shared" si="12"/>
        <v>0</v>
      </c>
      <c r="W37" s="25">
        <f t="shared" si="37"/>
        <v>0</v>
      </c>
      <c r="X37" s="25">
        <f t="shared" si="32"/>
        <v>2.1</v>
      </c>
      <c r="Y37" s="29">
        <f t="shared" si="33"/>
        <v>1.2663000000000002</v>
      </c>
      <c r="Z37" s="160"/>
      <c r="AA37" s="279" t="s">
        <v>183</v>
      </c>
      <c r="AB37" s="76">
        <f t="shared" si="13"/>
        <v>0</v>
      </c>
      <c r="AC37" s="279" t="s">
        <v>183</v>
      </c>
      <c r="AD37" s="161">
        <f t="shared" si="14"/>
        <v>0</v>
      </c>
      <c r="AE37" s="163">
        <f t="shared" si="15"/>
        <v>12.663</v>
      </c>
      <c r="AF37" s="76">
        <f t="shared" si="16"/>
        <v>29.758049999999997</v>
      </c>
      <c r="AG37" s="161">
        <f t="shared" si="17"/>
        <v>0</v>
      </c>
      <c r="AH37" s="235" t="s">
        <v>184</v>
      </c>
      <c r="AI37" s="167">
        <f t="shared" si="18"/>
        <v>29.758049999999997</v>
      </c>
      <c r="AJ37" s="174">
        <f t="shared" si="19"/>
        <v>59.516099999999994</v>
      </c>
      <c r="AK37" s="167" t="str">
        <f t="shared" si="20"/>
        <v>nástupiště</v>
      </c>
      <c r="AL37" s="167">
        <f t="shared" si="0"/>
        <v>0.35</v>
      </c>
      <c r="AM37" s="167">
        <f t="shared" si="1"/>
        <v>4.4850000000000003</v>
      </c>
      <c r="AN37" s="167">
        <f t="shared" si="21"/>
        <v>27.044550000000005</v>
      </c>
      <c r="AO37" s="167">
        <f t="shared" si="2"/>
        <v>3.2750000000000004</v>
      </c>
      <c r="AP37" s="167">
        <f t="shared" si="3"/>
        <v>19.748250000000002</v>
      </c>
      <c r="AQ37" s="242"/>
      <c r="AR37" s="285">
        <f t="shared" si="22"/>
        <v>0</v>
      </c>
      <c r="AS37" s="285">
        <f t="shared" si="23"/>
        <v>0</v>
      </c>
      <c r="AT37" s="285" t="s">
        <v>184</v>
      </c>
      <c r="AU37" s="285">
        <f t="shared" si="4"/>
        <v>22.1904</v>
      </c>
      <c r="AV37" s="184"/>
      <c r="AW37" s="186"/>
      <c r="AX37" t="str">
        <f t="shared" si="5"/>
        <v>Š16-Š17</v>
      </c>
    </row>
    <row r="38" spans="1:50" ht="15.75" x14ac:dyDescent="0.25">
      <c r="B38" s="302" t="s">
        <v>296</v>
      </c>
      <c r="C38" s="192">
        <v>21</v>
      </c>
      <c r="D38" s="25">
        <f t="shared" si="6"/>
        <v>21.58</v>
      </c>
      <c r="E38" s="237" t="s">
        <v>189</v>
      </c>
      <c r="F38" s="113"/>
      <c r="G38" s="113">
        <v>0.9</v>
      </c>
      <c r="H38" s="28"/>
      <c r="I38" s="27">
        <v>0</v>
      </c>
      <c r="J38" s="118"/>
      <c r="K38" s="113">
        <v>0</v>
      </c>
      <c r="L38" s="28"/>
      <c r="M38" s="27">
        <v>0</v>
      </c>
      <c r="N38" s="28">
        <v>1</v>
      </c>
      <c r="O38" s="72">
        <v>2</v>
      </c>
      <c r="P38" s="72">
        <f t="shared" si="30"/>
        <v>2</v>
      </c>
      <c r="Q38" s="27">
        <f t="shared" si="9"/>
        <v>44</v>
      </c>
      <c r="R38" s="157"/>
      <c r="S38" s="73"/>
      <c r="T38" s="25"/>
      <c r="U38" s="235"/>
      <c r="V38" s="25"/>
      <c r="W38" s="25"/>
      <c r="X38" s="25">
        <f t="shared" si="32"/>
        <v>1.7000000000000002</v>
      </c>
      <c r="Y38" s="29">
        <f t="shared" si="33"/>
        <v>3.5700000000000003</v>
      </c>
      <c r="Z38" s="160"/>
      <c r="AA38" s="279"/>
      <c r="AB38" s="76"/>
      <c r="AC38" s="279"/>
      <c r="AD38" s="161"/>
      <c r="AE38" s="163">
        <f t="shared" si="15"/>
        <v>35.700000000000003</v>
      </c>
      <c r="AF38" s="76"/>
      <c r="AG38" s="161"/>
      <c r="AH38" s="235"/>
      <c r="AI38" s="167"/>
      <c r="AJ38" s="174"/>
      <c r="AK38" s="167"/>
      <c r="AL38" s="167"/>
      <c r="AM38" s="167"/>
      <c r="AN38" s="167"/>
      <c r="AO38" s="167"/>
      <c r="AP38" s="167"/>
      <c r="AQ38" s="242"/>
      <c r="AR38" s="285">
        <f t="shared" si="22"/>
        <v>0</v>
      </c>
      <c r="AS38" s="285">
        <f t="shared" si="23"/>
        <v>0</v>
      </c>
      <c r="AT38" s="285"/>
      <c r="AU38" s="285"/>
      <c r="AV38" s="184"/>
      <c r="AW38" s="186"/>
      <c r="AX38" t="str">
        <f t="shared" si="5"/>
        <v>Š17-Š17a</v>
      </c>
    </row>
    <row r="39" spans="1:50" ht="15.75" x14ac:dyDescent="0.25">
      <c r="A39">
        <f>IF(B39&gt;0,A37+1,A36+1)</f>
        <v>15</v>
      </c>
      <c r="B39" s="84" t="s">
        <v>231</v>
      </c>
      <c r="C39" s="192">
        <v>8.75</v>
      </c>
      <c r="D39" s="25">
        <f>IF(C39&gt;0,C39+0.58,0)</f>
        <v>9.33</v>
      </c>
      <c r="E39" s="237" t="s">
        <v>189</v>
      </c>
      <c r="F39" s="113"/>
      <c r="G39" s="113">
        <f t="shared" ref="G39" si="50">IF(O39&gt;0,O39*0.45,O39*0.45)</f>
        <v>0</v>
      </c>
      <c r="H39" s="28">
        <v>18</v>
      </c>
      <c r="I39" s="27">
        <v>0</v>
      </c>
      <c r="J39" s="118"/>
      <c r="K39" s="113">
        <f t="shared" ref="K39:K100" si="51">IF(C39&gt;0,CEILING(C39+0.58,1)*J39,0)</f>
        <v>0</v>
      </c>
      <c r="L39" s="28"/>
      <c r="M39" s="27">
        <f t="shared" ref="M39" si="52">IF(C39&gt;0,CEILING(C39+0.58,1)*L39,0)</f>
        <v>0</v>
      </c>
      <c r="N39" s="28">
        <v>0</v>
      </c>
      <c r="O39" s="72">
        <v>0</v>
      </c>
      <c r="P39" s="72">
        <f t="shared" ref="P39" si="53">N39*O39</f>
        <v>0</v>
      </c>
      <c r="Q39" s="27">
        <f t="shared" ref="Q39" si="54">IF(C39&gt;0,CEILING(C39+0.58,1)*P39,0)</f>
        <v>0</v>
      </c>
      <c r="R39" s="157" t="s">
        <v>184</v>
      </c>
      <c r="S39" s="277">
        <v>0.45</v>
      </c>
      <c r="T39" s="25">
        <f t="shared" si="11"/>
        <v>3.9375</v>
      </c>
      <c r="U39" s="235" t="s">
        <v>183</v>
      </c>
      <c r="V39" s="25">
        <f t="shared" si="12"/>
        <v>0</v>
      </c>
      <c r="W39" s="25">
        <f t="shared" ref="W39" si="55">C39*V39</f>
        <v>0</v>
      </c>
      <c r="X39" s="282">
        <f>IF(C39&gt;0,H39*0.1+J39*0.15+L39*0.2+0.3+0.6,0)</f>
        <v>2.7</v>
      </c>
      <c r="Y39" s="29">
        <f t="shared" si="33"/>
        <v>2.3625000000000003</v>
      </c>
      <c r="Z39" s="160"/>
      <c r="AA39" s="279" t="s">
        <v>183</v>
      </c>
      <c r="AB39" s="76">
        <f t="shared" si="13"/>
        <v>0</v>
      </c>
      <c r="AC39" s="279" t="s">
        <v>183</v>
      </c>
      <c r="AD39" s="161">
        <f t="shared" si="14"/>
        <v>0</v>
      </c>
      <c r="AE39" s="163">
        <f t="shared" si="15"/>
        <v>23.625</v>
      </c>
      <c r="AF39" s="76">
        <f t="shared" si="16"/>
        <v>0</v>
      </c>
      <c r="AG39" s="161">
        <f t="shared" si="17"/>
        <v>0</v>
      </c>
      <c r="AH39" s="235" t="s">
        <v>183</v>
      </c>
      <c r="AI39" s="167">
        <f t="shared" si="18"/>
        <v>0</v>
      </c>
      <c r="AJ39" s="174">
        <f t="shared" ref="AJ39" si="56">AI39*2</f>
        <v>0</v>
      </c>
      <c r="AK39" s="167" t="str">
        <f t="shared" si="20"/>
        <v>nástupiště</v>
      </c>
      <c r="AL39" s="167">
        <f t="shared" si="0"/>
        <v>0.35</v>
      </c>
      <c r="AM39" s="167">
        <f t="shared" si="1"/>
        <v>0.88324999999999987</v>
      </c>
      <c r="AN39" s="167">
        <f t="shared" si="21"/>
        <v>7.7284374999999992</v>
      </c>
      <c r="AO39" s="167">
        <f>AM39-((H39*0.02+J39*0.03+L39*0.06+(N39*0.5)*(O39*0.5)+X39*0.1))</f>
        <v>0.25324999999999986</v>
      </c>
      <c r="AP39" s="167">
        <f t="shared" si="3"/>
        <v>2.215937499999999</v>
      </c>
      <c r="AQ39" s="242"/>
      <c r="AR39" s="285">
        <f t="shared" si="22"/>
        <v>0</v>
      </c>
      <c r="AS39" s="285">
        <f t="shared" si="23"/>
        <v>0</v>
      </c>
      <c r="AT39" s="285"/>
      <c r="AU39" s="285">
        <f t="shared" si="4"/>
        <v>0</v>
      </c>
      <c r="AV39" s="184" t="s">
        <v>184</v>
      </c>
      <c r="AW39" s="186"/>
      <c r="AX39" t="str">
        <f t="shared" si="5"/>
        <v>Š17-nástupiště</v>
      </c>
    </row>
    <row r="40" spans="1:50" ht="15.75" x14ac:dyDescent="0.25">
      <c r="A40">
        <f>IF(B40&gt;0,A39+1,A37+1)</f>
        <v>16</v>
      </c>
      <c r="B40" s="84" t="s">
        <v>159</v>
      </c>
      <c r="C40" s="192">
        <v>9.4499999999999993</v>
      </c>
      <c r="D40" s="25">
        <f t="shared" ref="D40" si="57">IF(C40&gt;0,C40+0.58,0)</f>
        <v>10.029999999999999</v>
      </c>
      <c r="E40" s="237" t="s">
        <v>189</v>
      </c>
      <c r="F40" s="113"/>
      <c r="G40" s="113">
        <f t="shared" ref="G40" si="58">IF(O40&gt;0,O40*0.45,O40*0.45)</f>
        <v>0.9</v>
      </c>
      <c r="H40" s="28"/>
      <c r="I40" s="27">
        <f t="shared" ref="I40" si="59">IF(C40&gt;0,CEILING(C40+0.58,1)*H40,0)</f>
        <v>0</v>
      </c>
      <c r="J40" s="118"/>
      <c r="K40" s="113">
        <f t="shared" si="51"/>
        <v>0</v>
      </c>
      <c r="L40" s="28"/>
      <c r="M40" s="27">
        <f t="shared" ref="M40" si="60">IF(C40&gt;0,CEILING(C40+0.58,1)*L40,0)</f>
        <v>0</v>
      </c>
      <c r="N40" s="28">
        <v>1</v>
      </c>
      <c r="O40" s="72">
        <v>2</v>
      </c>
      <c r="P40" s="72">
        <f t="shared" ref="P40" si="61">N40*O40</f>
        <v>2</v>
      </c>
      <c r="Q40" s="27">
        <f t="shared" ref="Q40" si="62">IF(C40&gt;0,CEILING(C40+0.58,1)*P40,0)</f>
        <v>22</v>
      </c>
      <c r="R40" s="157" t="s">
        <v>184</v>
      </c>
      <c r="S40" s="73">
        <f t="shared" si="10"/>
        <v>0.43855</v>
      </c>
      <c r="T40" s="25">
        <f t="shared" si="11"/>
        <v>4.1442974999999995</v>
      </c>
      <c r="U40" s="235" t="s">
        <v>184</v>
      </c>
      <c r="V40" s="25">
        <f t="shared" si="12"/>
        <v>0.59644999999999992</v>
      </c>
      <c r="W40" s="25">
        <f t="shared" ref="W40" si="63">C40*V40</f>
        <v>5.636452499999999</v>
      </c>
      <c r="X40" s="25">
        <f t="shared" si="32"/>
        <v>1.7000000000000002</v>
      </c>
      <c r="Y40" s="29">
        <f t="shared" si="33"/>
        <v>1.6065000000000003</v>
      </c>
      <c r="Z40" s="160"/>
      <c r="AA40" s="279" t="s">
        <v>183</v>
      </c>
      <c r="AB40" s="76">
        <f t="shared" si="13"/>
        <v>0</v>
      </c>
      <c r="AC40" s="279" t="s">
        <v>183</v>
      </c>
      <c r="AD40" s="161">
        <f t="shared" si="14"/>
        <v>0</v>
      </c>
      <c r="AE40" s="163">
        <f t="shared" si="15"/>
        <v>16.065000000000001</v>
      </c>
      <c r="AF40" s="76">
        <f t="shared" si="16"/>
        <v>40.493249999999989</v>
      </c>
      <c r="AG40" s="161">
        <f t="shared" si="17"/>
        <v>46.588499999999996</v>
      </c>
      <c r="AH40" s="235" t="s">
        <v>184</v>
      </c>
      <c r="AI40" s="167">
        <f t="shared" si="18"/>
        <v>40.493249999999989</v>
      </c>
      <c r="AJ40" s="174">
        <f t="shared" ref="AJ40" si="64">AI40*2</f>
        <v>80.986499999999978</v>
      </c>
      <c r="AK40" s="167" t="str">
        <f t="shared" si="20"/>
        <v>nástupiště</v>
      </c>
      <c r="AL40" s="167">
        <f t="shared" si="0"/>
        <v>0.35</v>
      </c>
      <c r="AM40" s="167">
        <f t="shared" si="1"/>
        <v>3.0273750000000001</v>
      </c>
      <c r="AN40" s="167">
        <f t="shared" si="21"/>
        <v>28.60869375</v>
      </c>
      <c r="AO40" s="167">
        <f t="shared" si="2"/>
        <v>2.3573750000000002</v>
      </c>
      <c r="AP40" s="167">
        <f t="shared" si="3"/>
        <v>22.277193750000002</v>
      </c>
      <c r="AQ40" s="242"/>
      <c r="AR40" s="285">
        <f t="shared" si="22"/>
        <v>0</v>
      </c>
      <c r="AS40" s="285">
        <f t="shared" si="23"/>
        <v>0</v>
      </c>
      <c r="AT40" s="285" t="s">
        <v>184</v>
      </c>
      <c r="AU40" s="285">
        <f t="shared" si="4"/>
        <v>34.775999999999996</v>
      </c>
      <c r="AV40" s="184"/>
      <c r="AW40" s="186"/>
      <c r="AX40" t="str">
        <f t="shared" si="5"/>
        <v>Š17-Š18</v>
      </c>
    </row>
    <row r="41" spans="1:50" ht="15.75" x14ac:dyDescent="0.25">
      <c r="A41">
        <f t="shared" si="24"/>
        <v>17</v>
      </c>
      <c r="B41" s="84" t="s">
        <v>232</v>
      </c>
      <c r="C41" s="192">
        <v>4.3</v>
      </c>
      <c r="D41" s="25">
        <f t="shared" si="6"/>
        <v>4.88</v>
      </c>
      <c r="E41" s="237" t="s">
        <v>189</v>
      </c>
      <c r="F41" s="113"/>
      <c r="G41" s="113">
        <f t="shared" si="26"/>
        <v>0</v>
      </c>
      <c r="H41" s="28">
        <v>9</v>
      </c>
      <c r="I41" s="27">
        <f t="shared" si="47"/>
        <v>45</v>
      </c>
      <c r="J41" s="118"/>
      <c r="K41" s="113">
        <f t="shared" si="51"/>
        <v>0</v>
      </c>
      <c r="L41" s="28"/>
      <c r="M41" s="27">
        <f t="shared" si="49"/>
        <v>0</v>
      </c>
      <c r="N41" s="28"/>
      <c r="O41" s="72"/>
      <c r="P41" s="72"/>
      <c r="Q41" s="27">
        <f t="shared" si="9"/>
        <v>0</v>
      </c>
      <c r="R41" s="157" t="s">
        <v>184</v>
      </c>
      <c r="S41" s="277">
        <v>0.5</v>
      </c>
      <c r="T41" s="25">
        <f t="shared" si="11"/>
        <v>2.15</v>
      </c>
      <c r="U41" s="235" t="s">
        <v>183</v>
      </c>
      <c r="V41" s="25">
        <f t="shared" si="12"/>
        <v>0</v>
      </c>
      <c r="W41" s="25">
        <f t="shared" si="37"/>
        <v>0</v>
      </c>
      <c r="X41" s="282">
        <f t="shared" ref="X41:X42" si="65">IF(C41&gt;0,H41*0.1+J41*0.15+L41*0.2+0.3+0.6,0)</f>
        <v>1.7999999999999998</v>
      </c>
      <c r="Y41" s="29">
        <f t="shared" si="33"/>
        <v>0.77400000000000002</v>
      </c>
      <c r="Z41" s="160"/>
      <c r="AA41" s="279" t="s">
        <v>183</v>
      </c>
      <c r="AB41" s="76">
        <f t="shared" si="13"/>
        <v>0</v>
      </c>
      <c r="AC41" s="279" t="s">
        <v>183</v>
      </c>
      <c r="AD41" s="161">
        <f t="shared" si="14"/>
        <v>0</v>
      </c>
      <c r="AE41" s="163">
        <f t="shared" si="15"/>
        <v>7.7399999999999993</v>
      </c>
      <c r="AF41" s="76">
        <f t="shared" si="16"/>
        <v>0</v>
      </c>
      <c r="AG41" s="161">
        <f t="shared" si="17"/>
        <v>0</v>
      </c>
      <c r="AH41" s="235" t="s">
        <v>183</v>
      </c>
      <c r="AI41" s="167">
        <f t="shared" si="18"/>
        <v>0</v>
      </c>
      <c r="AJ41" s="174">
        <f t="shared" si="19"/>
        <v>0</v>
      </c>
      <c r="AK41" s="167" t="str">
        <f t="shared" si="20"/>
        <v>nástupiště</v>
      </c>
      <c r="AL41" s="167">
        <f t="shared" si="0"/>
        <v>0.35</v>
      </c>
      <c r="AM41" s="167">
        <f t="shared" si="1"/>
        <v>0.70324999999999993</v>
      </c>
      <c r="AN41" s="167">
        <f t="shared" si="21"/>
        <v>3.0239749999999996</v>
      </c>
      <c r="AO41" s="167">
        <f t="shared" si="2"/>
        <v>0.34324999999999994</v>
      </c>
      <c r="AP41" s="167">
        <f t="shared" si="3"/>
        <v>1.4759749999999996</v>
      </c>
      <c r="AQ41" s="242"/>
      <c r="AR41" s="285">
        <f t="shared" si="22"/>
        <v>0</v>
      </c>
      <c r="AS41" s="285">
        <f t="shared" si="23"/>
        <v>0</v>
      </c>
      <c r="AT41" s="285"/>
      <c r="AU41" s="285">
        <f t="shared" si="4"/>
        <v>0</v>
      </c>
      <c r="AV41" s="184" t="s">
        <v>184</v>
      </c>
      <c r="AW41" s="186"/>
      <c r="AX41" t="str">
        <f t="shared" si="5"/>
        <v>Š18-nástupiště</v>
      </c>
    </row>
    <row r="42" spans="1:50" ht="15.75" x14ac:dyDescent="0.25">
      <c r="A42">
        <f t="shared" si="24"/>
        <v>18</v>
      </c>
      <c r="B42" s="84" t="s">
        <v>232</v>
      </c>
      <c r="C42" s="192">
        <v>7.35</v>
      </c>
      <c r="D42" s="25">
        <f t="shared" ref="D42" si="66">IF(C42&gt;0,C42+0.58,0)</f>
        <v>7.93</v>
      </c>
      <c r="E42" s="237" t="s">
        <v>189</v>
      </c>
      <c r="F42" s="113"/>
      <c r="G42" s="113">
        <f t="shared" ref="G42" si="67">IF(O42&gt;0,O42*0.45,O42*0.45)</f>
        <v>0</v>
      </c>
      <c r="H42" s="28">
        <v>9</v>
      </c>
      <c r="I42" s="27">
        <f t="shared" ref="I42" si="68">IF(C42&gt;0,CEILING(C42+0.58,1)*H42,0)</f>
        <v>72</v>
      </c>
      <c r="J42" s="118"/>
      <c r="K42" s="113">
        <f t="shared" si="51"/>
        <v>0</v>
      </c>
      <c r="L42" s="28"/>
      <c r="M42" s="27">
        <f t="shared" ref="M42:M100" si="69">IF(C42&gt;0,CEILING(C42+0.58,1)*L42,0)</f>
        <v>0</v>
      </c>
      <c r="N42" s="28"/>
      <c r="O42" s="72"/>
      <c r="P42" s="72"/>
      <c r="Q42" s="27">
        <f t="shared" ref="Q42" si="70">IF(C42&gt;0,CEILING(C42+0.58,1)*P42,0)</f>
        <v>0</v>
      </c>
      <c r="R42" s="157" t="s">
        <v>184</v>
      </c>
      <c r="S42" s="277">
        <v>0.5</v>
      </c>
      <c r="T42" s="25">
        <f t="shared" ref="T42" si="71">IF(R42="ano",C42*S42,0)</f>
        <v>3.6749999999999998</v>
      </c>
      <c r="U42" s="235" t="s">
        <v>183</v>
      </c>
      <c r="V42" s="25">
        <f t="shared" si="12"/>
        <v>0</v>
      </c>
      <c r="W42" s="25">
        <f t="shared" ref="W42" si="72">C42*V42</f>
        <v>0</v>
      </c>
      <c r="X42" s="282">
        <f t="shared" si="65"/>
        <v>1.7999999999999998</v>
      </c>
      <c r="Y42" s="29">
        <f t="shared" ref="Y42" si="73">C42*X42*0.1</f>
        <v>1.323</v>
      </c>
      <c r="Z42" s="160"/>
      <c r="AA42" s="279" t="s">
        <v>183</v>
      </c>
      <c r="AB42" s="76">
        <f t="shared" si="13"/>
        <v>0</v>
      </c>
      <c r="AC42" s="279" t="s">
        <v>183</v>
      </c>
      <c r="AD42" s="161">
        <f t="shared" si="14"/>
        <v>0</v>
      </c>
      <c r="AE42" s="163">
        <f t="shared" ref="AE42" si="74">X42*C42</f>
        <v>13.229999999999999</v>
      </c>
      <c r="AF42" s="76">
        <f t="shared" si="16"/>
        <v>0</v>
      </c>
      <c r="AG42" s="161">
        <f t="shared" si="17"/>
        <v>0</v>
      </c>
      <c r="AH42" s="235" t="s">
        <v>183</v>
      </c>
      <c r="AI42" s="167">
        <f t="shared" si="18"/>
        <v>0</v>
      </c>
      <c r="AJ42" s="174">
        <f t="shared" ref="AJ42" si="75">AI42*2</f>
        <v>0</v>
      </c>
      <c r="AK42" s="167" t="str">
        <f t="shared" ref="AK42" si="76">E42</f>
        <v>nástupiště</v>
      </c>
      <c r="AL42" s="167">
        <f t="shared" si="0"/>
        <v>0.35</v>
      </c>
      <c r="AM42" s="167">
        <f t="shared" si="1"/>
        <v>0.70324999999999993</v>
      </c>
      <c r="AN42" s="167">
        <f t="shared" si="21"/>
        <v>5.1688874999999994</v>
      </c>
      <c r="AO42" s="167">
        <f t="shared" si="2"/>
        <v>0.34324999999999994</v>
      </c>
      <c r="AP42" s="167">
        <f t="shared" ref="AP42" si="77">C42*AO42</f>
        <v>2.5228874999999995</v>
      </c>
      <c r="AQ42" s="242"/>
      <c r="AR42" s="285">
        <f t="shared" si="22"/>
        <v>0</v>
      </c>
      <c r="AS42" s="285">
        <f t="shared" si="23"/>
        <v>0</v>
      </c>
      <c r="AT42" s="285"/>
      <c r="AU42" s="285">
        <f t="shared" si="4"/>
        <v>0</v>
      </c>
      <c r="AV42" s="184" t="s">
        <v>184</v>
      </c>
      <c r="AW42" s="186"/>
      <c r="AX42" t="str">
        <f t="shared" ref="AX42" si="78">B42</f>
        <v>Š18-nástupiště</v>
      </c>
    </row>
    <row r="43" spans="1:50" ht="15.75" x14ac:dyDescent="0.25">
      <c r="A43">
        <f t="shared" si="24"/>
        <v>18</v>
      </c>
      <c r="B43" s="84"/>
      <c r="C43" s="192"/>
      <c r="D43" s="25"/>
      <c r="E43" s="237" t="s">
        <v>189</v>
      </c>
      <c r="F43" s="113"/>
      <c r="G43" s="113"/>
      <c r="H43" s="28"/>
      <c r="I43" s="27"/>
      <c r="J43" s="118"/>
      <c r="K43" s="113">
        <f t="shared" si="51"/>
        <v>0</v>
      </c>
      <c r="L43" s="28"/>
      <c r="M43" s="27">
        <f t="shared" si="69"/>
        <v>0</v>
      </c>
      <c r="N43" s="28"/>
      <c r="O43" s="72"/>
      <c r="P43" s="72"/>
      <c r="Q43" s="27"/>
      <c r="R43" s="157"/>
      <c r="S43" s="73">
        <f t="shared" ref="S43:S74" si="79">IF(R43="ano",(N43+0.25)*(O43+0.25)-N43*O43,0)</f>
        <v>0</v>
      </c>
      <c r="T43" s="25"/>
      <c r="U43" s="235"/>
      <c r="V43" s="25">
        <f t="shared" si="12"/>
        <v>0</v>
      </c>
      <c r="W43" s="25"/>
      <c r="X43" s="25">
        <f t="shared" si="32"/>
        <v>0</v>
      </c>
      <c r="Y43" s="29"/>
      <c r="Z43" s="160"/>
      <c r="AA43" s="279"/>
      <c r="AB43" s="76">
        <f t="shared" si="13"/>
        <v>0</v>
      </c>
      <c r="AC43" s="279"/>
      <c r="AD43" s="161">
        <f t="shared" si="14"/>
        <v>0</v>
      </c>
      <c r="AE43" s="163"/>
      <c r="AF43" s="76">
        <f t="shared" si="16"/>
        <v>0</v>
      </c>
      <c r="AG43" s="161">
        <f t="shared" si="17"/>
        <v>0</v>
      </c>
      <c r="AH43" s="235"/>
      <c r="AI43" s="167">
        <f t="shared" si="18"/>
        <v>0</v>
      </c>
      <c r="AJ43" s="174"/>
      <c r="AK43" s="167"/>
      <c r="AL43" s="167">
        <f t="shared" si="0"/>
        <v>0</v>
      </c>
      <c r="AM43" s="167">
        <f t="shared" si="1"/>
        <v>0</v>
      </c>
      <c r="AN43" s="167">
        <f t="shared" si="21"/>
        <v>0</v>
      </c>
      <c r="AO43" s="167">
        <f t="shared" si="2"/>
        <v>0</v>
      </c>
      <c r="AP43" s="167"/>
      <c r="AQ43" s="242"/>
      <c r="AR43" s="285">
        <f t="shared" si="22"/>
        <v>0</v>
      </c>
      <c r="AS43" s="285">
        <f t="shared" si="23"/>
        <v>0</v>
      </c>
      <c r="AT43" s="285"/>
      <c r="AU43" s="285">
        <f t="shared" si="4"/>
        <v>0</v>
      </c>
      <c r="AV43" s="184"/>
      <c r="AW43" s="186"/>
    </row>
    <row r="44" spans="1:50" ht="15.75" x14ac:dyDescent="0.25">
      <c r="A44">
        <f t="shared" si="24"/>
        <v>19</v>
      </c>
      <c r="B44" s="84" t="s">
        <v>233</v>
      </c>
      <c r="C44" s="192">
        <v>7.97</v>
      </c>
      <c r="D44" s="25">
        <f t="shared" si="6"/>
        <v>8.5499999999999989</v>
      </c>
      <c r="E44" s="238" t="s">
        <v>190</v>
      </c>
      <c r="F44" s="113"/>
      <c r="G44" s="113">
        <f t="shared" si="26"/>
        <v>0.9</v>
      </c>
      <c r="H44" s="28"/>
      <c r="I44" s="27">
        <f t="shared" si="47"/>
        <v>0</v>
      </c>
      <c r="J44" s="118"/>
      <c r="K44" s="113">
        <f t="shared" si="51"/>
        <v>0</v>
      </c>
      <c r="L44" s="28"/>
      <c r="M44" s="27">
        <f t="shared" si="69"/>
        <v>0</v>
      </c>
      <c r="N44" s="28">
        <v>3</v>
      </c>
      <c r="O44" s="72">
        <v>2</v>
      </c>
      <c r="P44" s="72">
        <f t="shared" ref="P44" si="80">N44*O44</f>
        <v>6</v>
      </c>
      <c r="Q44" s="27">
        <f t="shared" si="9"/>
        <v>54</v>
      </c>
      <c r="R44" s="157" t="s">
        <v>184</v>
      </c>
      <c r="S44" s="73">
        <f t="shared" ref="S44:S45" si="81">IF(R44="ano",(N44*0.45+0.25)*(O44*0.45+0.15)-(N44*0.385)*(O44*0.385),0)</f>
        <v>0.79065000000000007</v>
      </c>
      <c r="T44" s="25">
        <f t="shared" si="11"/>
        <v>6.3014805000000003</v>
      </c>
      <c r="U44" s="235" t="s">
        <v>184</v>
      </c>
      <c r="V44" s="25">
        <f t="shared" si="12"/>
        <v>1.2793499999999998</v>
      </c>
      <c r="W44" s="25">
        <f t="shared" si="37"/>
        <v>10.196419499999998</v>
      </c>
      <c r="X44" s="25">
        <f t="shared" si="32"/>
        <v>2.5</v>
      </c>
      <c r="Y44" s="29">
        <f t="shared" si="33"/>
        <v>1.9925000000000002</v>
      </c>
      <c r="Z44" s="160"/>
      <c r="AA44" s="279" t="s">
        <v>184</v>
      </c>
      <c r="AB44" s="76">
        <f t="shared" si="13"/>
        <v>19.925000000000001</v>
      </c>
      <c r="AC44" s="279" t="s">
        <v>184</v>
      </c>
      <c r="AD44" s="161">
        <f t="shared" si="14"/>
        <v>27.895000000000003</v>
      </c>
      <c r="AE44" s="163">
        <f t="shared" si="15"/>
        <v>19.925000000000001</v>
      </c>
      <c r="AF44" s="76">
        <f t="shared" si="16"/>
        <v>44.512449999999994</v>
      </c>
      <c r="AG44" s="161">
        <f t="shared" si="17"/>
        <v>49.653100000000002</v>
      </c>
      <c r="AH44" s="235" t="s">
        <v>184</v>
      </c>
      <c r="AI44" s="167">
        <f t="shared" si="18"/>
        <v>44.512449999999994</v>
      </c>
      <c r="AJ44" s="174">
        <f t="shared" si="19"/>
        <v>89.024899999999988</v>
      </c>
      <c r="AK44" s="167" t="str">
        <f t="shared" si="20"/>
        <v>Pod kolejemi</v>
      </c>
      <c r="AL44" s="167">
        <f t="shared" si="0"/>
        <v>1.7</v>
      </c>
      <c r="AM44" s="167">
        <f t="shared" si="1"/>
        <v>10.513875000000001</v>
      </c>
      <c r="AN44" s="167">
        <f t="shared" si="21"/>
        <v>83.795583750000006</v>
      </c>
      <c r="AO44" s="167">
        <f t="shared" ref="AO44" si="82">AM44-((H44*0.02+J44*0.04+L44*0.06+(N44*0.5)*(O44*0.5)+X44*0.1))</f>
        <v>8.7638750000000005</v>
      </c>
      <c r="AP44" s="167">
        <f t="shared" si="3"/>
        <v>69.848083750000001</v>
      </c>
      <c r="AQ44" s="242" t="s">
        <v>184</v>
      </c>
      <c r="AR44" s="285">
        <f t="shared" si="22"/>
        <v>29.329599999999999</v>
      </c>
      <c r="AS44" s="285">
        <f t="shared" si="23"/>
        <v>75.1571</v>
      </c>
      <c r="AT44" s="285"/>
      <c r="AU44" s="285">
        <f t="shared" si="4"/>
        <v>0</v>
      </c>
      <c r="AV44" s="184"/>
      <c r="AW44" s="186"/>
      <c r="AX44" t="str">
        <f t="shared" si="5"/>
        <v>Š16-Š19</v>
      </c>
    </row>
    <row r="45" spans="1:50" ht="15.75" x14ac:dyDescent="0.25">
      <c r="A45">
        <f t="shared" si="24"/>
        <v>20</v>
      </c>
      <c r="B45" s="84" t="s">
        <v>234</v>
      </c>
      <c r="C45" s="192">
        <v>15.54</v>
      </c>
      <c r="D45" s="25">
        <f t="shared" ref="D45:D47" si="83">IF(C45&gt;0,C45+0.58,0)</f>
        <v>16.119999999999997</v>
      </c>
      <c r="E45" s="237" t="s">
        <v>189</v>
      </c>
      <c r="F45" s="113"/>
      <c r="G45" s="113">
        <f t="shared" ref="G45:G47" si="84">IF(O45&gt;0,O45*0.45,O45*0.45)</f>
        <v>0.9</v>
      </c>
      <c r="H45" s="28"/>
      <c r="I45" s="27">
        <f t="shared" ref="I45:I47" si="85">IF(C45&gt;0,CEILING(C45+0.58,1)*H45,0)</f>
        <v>0</v>
      </c>
      <c r="J45" s="118"/>
      <c r="K45" s="113">
        <f t="shared" si="51"/>
        <v>0</v>
      </c>
      <c r="L45" s="28"/>
      <c r="M45" s="27">
        <f t="shared" si="69"/>
        <v>0</v>
      </c>
      <c r="N45" s="28">
        <v>1</v>
      </c>
      <c r="O45" s="72">
        <v>2</v>
      </c>
      <c r="P45" s="72">
        <f t="shared" ref="P45:P46" si="86">N45*O45</f>
        <v>2</v>
      </c>
      <c r="Q45" s="27">
        <f t="shared" ref="Q45:Q47" si="87">IF(C45&gt;0,CEILING(C45+0.58,1)*P45,0)</f>
        <v>34</v>
      </c>
      <c r="R45" s="157" t="s">
        <v>184</v>
      </c>
      <c r="S45" s="73">
        <f t="shared" si="81"/>
        <v>0.43855</v>
      </c>
      <c r="T45" s="25">
        <f t="shared" si="11"/>
        <v>6.815067</v>
      </c>
      <c r="U45" s="235" t="s">
        <v>183</v>
      </c>
      <c r="V45" s="25">
        <f t="shared" si="12"/>
        <v>0</v>
      </c>
      <c r="W45" s="25">
        <f t="shared" ref="W45:W47" si="88">C45*V45</f>
        <v>0</v>
      </c>
      <c r="X45" s="25">
        <f t="shared" si="32"/>
        <v>1.7000000000000002</v>
      </c>
      <c r="Y45" s="29">
        <f t="shared" si="33"/>
        <v>2.6418000000000004</v>
      </c>
      <c r="Z45" s="160"/>
      <c r="AA45" s="279" t="s">
        <v>183</v>
      </c>
      <c r="AB45" s="76">
        <f t="shared" si="13"/>
        <v>0</v>
      </c>
      <c r="AC45" s="279" t="s">
        <v>183</v>
      </c>
      <c r="AD45" s="161">
        <f t="shared" si="14"/>
        <v>0</v>
      </c>
      <c r="AE45" s="163">
        <f t="shared" si="15"/>
        <v>26.418000000000003</v>
      </c>
      <c r="AF45" s="76">
        <f t="shared" si="16"/>
        <v>0</v>
      </c>
      <c r="AG45" s="161">
        <f t="shared" si="17"/>
        <v>0</v>
      </c>
      <c r="AH45" s="235" t="s">
        <v>183</v>
      </c>
      <c r="AI45" s="167">
        <f t="shared" si="18"/>
        <v>0</v>
      </c>
      <c r="AJ45" s="174">
        <f t="shared" ref="AJ45:AJ47" si="89">AI45*2</f>
        <v>0</v>
      </c>
      <c r="AK45" s="167" t="str">
        <f t="shared" si="20"/>
        <v>nástupiště</v>
      </c>
      <c r="AL45" s="167">
        <f t="shared" si="0"/>
        <v>0.35</v>
      </c>
      <c r="AM45" s="167">
        <f t="shared" si="1"/>
        <v>3.0273750000000001</v>
      </c>
      <c r="AN45" s="167">
        <f t="shared" si="21"/>
        <v>47.045407500000003</v>
      </c>
      <c r="AO45" s="167">
        <f t="shared" ref="AO45:AO96" si="90">AM45-((H45*0.1+J45*0.16+L45*0.25+(N45*0.5)*(O45*0.5)+X45*0.1))</f>
        <v>2.3573750000000002</v>
      </c>
      <c r="AP45" s="167">
        <f t="shared" si="3"/>
        <v>36.633607500000004</v>
      </c>
      <c r="AQ45" s="242"/>
      <c r="AR45" s="285">
        <f t="shared" si="22"/>
        <v>0</v>
      </c>
      <c r="AS45" s="285">
        <f t="shared" si="23"/>
        <v>0</v>
      </c>
      <c r="AT45" s="285"/>
      <c r="AU45" s="285">
        <f t="shared" si="4"/>
        <v>0</v>
      </c>
      <c r="AV45" s="184" t="s">
        <v>184</v>
      </c>
      <c r="AW45" s="186"/>
      <c r="AX45" t="str">
        <f t="shared" si="5"/>
        <v>Š19-Š19a</v>
      </c>
    </row>
    <row r="46" spans="1:50" ht="15.75" x14ac:dyDescent="0.25">
      <c r="B46" s="84" t="s">
        <v>298</v>
      </c>
      <c r="C46" s="192">
        <v>17.37</v>
      </c>
      <c r="D46" s="25">
        <f t="shared" si="83"/>
        <v>17.95</v>
      </c>
      <c r="E46" s="237" t="s">
        <v>189</v>
      </c>
      <c r="F46" s="113"/>
      <c r="G46" s="113">
        <v>0.9</v>
      </c>
      <c r="H46" s="28"/>
      <c r="I46" s="27">
        <v>0</v>
      </c>
      <c r="J46" s="118"/>
      <c r="K46" s="113">
        <v>0</v>
      </c>
      <c r="L46" s="28"/>
      <c r="M46" s="27">
        <v>0</v>
      </c>
      <c r="N46" s="28">
        <v>1</v>
      </c>
      <c r="O46" s="72">
        <v>2</v>
      </c>
      <c r="P46" s="72">
        <f t="shared" si="86"/>
        <v>2</v>
      </c>
      <c r="Q46" s="27">
        <f t="shared" si="87"/>
        <v>36</v>
      </c>
      <c r="R46" s="157"/>
      <c r="S46" s="73"/>
      <c r="T46" s="25"/>
      <c r="U46" s="235"/>
      <c r="V46" s="25"/>
      <c r="W46" s="25"/>
      <c r="X46" s="25"/>
      <c r="Y46" s="29"/>
      <c r="Z46" s="160"/>
      <c r="AA46" s="279"/>
      <c r="AB46" s="76"/>
      <c r="AC46" s="279"/>
      <c r="AD46" s="161"/>
      <c r="AE46" s="163"/>
      <c r="AF46" s="76"/>
      <c r="AG46" s="161"/>
      <c r="AH46" s="235"/>
      <c r="AI46" s="167"/>
      <c r="AJ46" s="174"/>
      <c r="AK46" s="167"/>
      <c r="AL46" s="167"/>
      <c r="AM46" s="167"/>
      <c r="AN46" s="167"/>
      <c r="AO46" s="167"/>
      <c r="AP46" s="167"/>
      <c r="AQ46" s="242"/>
      <c r="AR46" s="285">
        <f t="shared" si="22"/>
        <v>0</v>
      </c>
      <c r="AS46" s="285">
        <f t="shared" si="23"/>
        <v>0</v>
      </c>
      <c r="AT46" s="285"/>
      <c r="AU46" s="285">
        <f t="shared" si="4"/>
        <v>0</v>
      </c>
      <c r="AV46" s="184"/>
      <c r="AW46" s="186"/>
      <c r="AX46" t="str">
        <f t="shared" si="5"/>
        <v>Š19a-Š19b</v>
      </c>
    </row>
    <row r="47" spans="1:50" ht="15.75" x14ac:dyDescent="0.25">
      <c r="A47">
        <f>IF(B47&gt;0,A45+1,A44+1)</f>
        <v>21</v>
      </c>
      <c r="B47" s="84" t="s">
        <v>297</v>
      </c>
      <c r="C47" s="192">
        <v>7.64</v>
      </c>
      <c r="D47" s="25">
        <f t="shared" si="83"/>
        <v>8.2199999999999989</v>
      </c>
      <c r="E47" s="237" t="s">
        <v>189</v>
      </c>
      <c r="F47" s="113"/>
      <c r="G47" s="113">
        <f t="shared" si="84"/>
        <v>0</v>
      </c>
      <c r="H47" s="28">
        <v>18</v>
      </c>
      <c r="I47" s="27">
        <f t="shared" si="85"/>
        <v>162</v>
      </c>
      <c r="J47" s="118"/>
      <c r="K47" s="113">
        <f t="shared" si="51"/>
        <v>0</v>
      </c>
      <c r="L47" s="28"/>
      <c r="M47" s="27">
        <f t="shared" si="69"/>
        <v>0</v>
      </c>
      <c r="N47" s="28">
        <v>0</v>
      </c>
      <c r="O47" s="72">
        <v>0</v>
      </c>
      <c r="P47" s="72">
        <v>0</v>
      </c>
      <c r="Q47" s="27">
        <f t="shared" si="87"/>
        <v>0</v>
      </c>
      <c r="R47" s="157" t="s">
        <v>184</v>
      </c>
      <c r="S47" s="277">
        <v>0.5</v>
      </c>
      <c r="T47" s="25">
        <f t="shared" si="11"/>
        <v>3.82</v>
      </c>
      <c r="U47" s="235" t="s">
        <v>183</v>
      </c>
      <c r="V47" s="25">
        <f t="shared" si="12"/>
        <v>0</v>
      </c>
      <c r="W47" s="25">
        <f t="shared" si="88"/>
        <v>0</v>
      </c>
      <c r="X47" s="282">
        <f>IF(C47&gt;0,H47*0.1+J47*0.15+L47*0.2+0.3+0.6,0)</f>
        <v>2.7</v>
      </c>
      <c r="Y47" s="29">
        <f t="shared" si="33"/>
        <v>2.0628000000000002</v>
      </c>
      <c r="Z47" s="160"/>
      <c r="AA47" s="279" t="s">
        <v>183</v>
      </c>
      <c r="AB47" s="76">
        <f t="shared" si="13"/>
        <v>0</v>
      </c>
      <c r="AC47" s="279" t="s">
        <v>183</v>
      </c>
      <c r="AD47" s="161">
        <f t="shared" si="14"/>
        <v>0</v>
      </c>
      <c r="AE47" s="163">
        <f t="shared" si="15"/>
        <v>20.628</v>
      </c>
      <c r="AF47" s="76">
        <f t="shared" si="16"/>
        <v>0</v>
      </c>
      <c r="AG47" s="161">
        <f t="shared" si="17"/>
        <v>0</v>
      </c>
      <c r="AH47" s="235" t="s">
        <v>183</v>
      </c>
      <c r="AI47" s="167">
        <f t="shared" si="18"/>
        <v>0</v>
      </c>
      <c r="AJ47" s="174">
        <f t="shared" si="89"/>
        <v>0</v>
      </c>
      <c r="AK47" s="167" t="str">
        <f t="shared" si="20"/>
        <v>nástupiště</v>
      </c>
      <c r="AL47" s="167">
        <f t="shared" si="0"/>
        <v>0.35</v>
      </c>
      <c r="AM47" s="167">
        <f t="shared" si="1"/>
        <v>0.88324999999999987</v>
      </c>
      <c r="AN47" s="167">
        <f t="shared" si="21"/>
        <v>6.7480299999999991</v>
      </c>
      <c r="AO47" s="167">
        <f t="shared" si="90"/>
        <v>-1.1867500000000004</v>
      </c>
      <c r="AP47" s="167">
        <f t="shared" si="3"/>
        <v>-9.0667700000000035</v>
      </c>
      <c r="AQ47" s="242"/>
      <c r="AR47" s="285">
        <f t="shared" si="22"/>
        <v>0</v>
      </c>
      <c r="AS47" s="285">
        <f t="shared" si="23"/>
        <v>0</v>
      </c>
      <c r="AT47" s="285"/>
      <c r="AU47" s="285">
        <f t="shared" si="4"/>
        <v>0</v>
      </c>
      <c r="AV47" s="184" t="s">
        <v>184</v>
      </c>
      <c r="AW47" s="186"/>
      <c r="AX47" t="str">
        <f t="shared" si="5"/>
        <v>Š19b-nástupiště</v>
      </c>
    </row>
    <row r="48" spans="1:50" ht="15.75" x14ac:dyDescent="0.25">
      <c r="A48">
        <f>IF(B48&gt;0,A47+1,A45+1)</f>
        <v>21</v>
      </c>
      <c r="B48" s="84"/>
      <c r="C48" s="192"/>
      <c r="D48" s="25"/>
      <c r="E48" s="237" t="s">
        <v>189</v>
      </c>
      <c r="F48" s="113"/>
      <c r="G48" s="113"/>
      <c r="H48" s="28"/>
      <c r="I48" s="27"/>
      <c r="J48" s="118"/>
      <c r="K48" s="113">
        <f t="shared" si="51"/>
        <v>0</v>
      </c>
      <c r="L48" s="28"/>
      <c r="M48" s="27">
        <f t="shared" si="69"/>
        <v>0</v>
      </c>
      <c r="N48" s="28"/>
      <c r="O48" s="72"/>
      <c r="P48" s="72"/>
      <c r="Q48" s="27"/>
      <c r="R48" s="157"/>
      <c r="S48" s="73">
        <f t="shared" si="79"/>
        <v>0</v>
      </c>
      <c r="T48" s="25"/>
      <c r="U48" s="235">
        <f t="shared" ref="U48:U71" si="91">B48</f>
        <v>0</v>
      </c>
      <c r="V48" s="25">
        <f t="shared" si="12"/>
        <v>0</v>
      </c>
      <c r="W48" s="25"/>
      <c r="X48" s="25">
        <f t="shared" si="32"/>
        <v>0</v>
      </c>
      <c r="Y48" s="29">
        <f t="shared" si="33"/>
        <v>0</v>
      </c>
      <c r="Z48" s="160"/>
      <c r="AA48" s="279"/>
      <c r="AB48" s="76">
        <f t="shared" si="13"/>
        <v>0</v>
      </c>
      <c r="AC48" s="279"/>
      <c r="AD48" s="161">
        <f t="shared" si="14"/>
        <v>0</v>
      </c>
      <c r="AE48" s="163"/>
      <c r="AF48" s="76">
        <f t="shared" si="16"/>
        <v>0</v>
      </c>
      <c r="AG48" s="161">
        <f t="shared" si="17"/>
        <v>0</v>
      </c>
      <c r="AH48" s="235">
        <f t="shared" ref="AH48:AH71" si="92">O48</f>
        <v>0</v>
      </c>
      <c r="AI48" s="167">
        <f t="shared" si="18"/>
        <v>0</v>
      </c>
      <c r="AJ48" s="174"/>
      <c r="AK48" s="167" t="str">
        <f t="shared" si="20"/>
        <v>nástupiště</v>
      </c>
      <c r="AL48" s="167">
        <f t="shared" si="0"/>
        <v>0.35</v>
      </c>
      <c r="AM48" s="167">
        <f t="shared" si="1"/>
        <v>0.52324999999999988</v>
      </c>
      <c r="AN48" s="167">
        <f t="shared" si="21"/>
        <v>0</v>
      </c>
      <c r="AO48" s="167">
        <f t="shared" si="90"/>
        <v>0.52324999999999988</v>
      </c>
      <c r="AP48" s="167"/>
      <c r="AQ48" s="242"/>
      <c r="AR48" s="285">
        <f t="shared" si="22"/>
        <v>0</v>
      </c>
      <c r="AS48" s="285">
        <f t="shared" si="23"/>
        <v>0</v>
      </c>
      <c r="AT48" s="285"/>
      <c r="AU48" s="285">
        <f t="shared" si="4"/>
        <v>0</v>
      </c>
      <c r="AV48" s="184"/>
      <c r="AW48" s="186"/>
    </row>
    <row r="49" spans="1:50" ht="15.75" x14ac:dyDescent="0.25">
      <c r="A49">
        <f t="shared" si="24"/>
        <v>22</v>
      </c>
      <c r="B49" s="84" t="s">
        <v>229</v>
      </c>
      <c r="C49" s="192">
        <v>11.02</v>
      </c>
      <c r="D49" s="25">
        <f t="shared" si="6"/>
        <v>11.6</v>
      </c>
      <c r="E49" s="238" t="s">
        <v>190</v>
      </c>
      <c r="F49" s="113"/>
      <c r="G49" s="113">
        <f>IF(O49&gt;0,O49*0.45+2*Z49,O49*0.45)</f>
        <v>0.9</v>
      </c>
      <c r="H49" s="28"/>
      <c r="I49" s="27">
        <f t="shared" si="47"/>
        <v>0</v>
      </c>
      <c r="J49" s="118"/>
      <c r="K49" s="113">
        <f t="shared" si="51"/>
        <v>0</v>
      </c>
      <c r="L49" s="28"/>
      <c r="M49" s="27">
        <f t="shared" si="69"/>
        <v>0</v>
      </c>
      <c r="N49" s="28">
        <v>3</v>
      </c>
      <c r="O49" s="72">
        <v>2</v>
      </c>
      <c r="P49" s="72">
        <f t="shared" si="30"/>
        <v>6</v>
      </c>
      <c r="Q49" s="27">
        <f t="shared" si="9"/>
        <v>72</v>
      </c>
      <c r="R49" s="157" t="s">
        <v>184</v>
      </c>
      <c r="S49" s="73">
        <f t="shared" ref="S49:S50" si="93">IF(R49="ano",(N49*0.45+0.25)*(O49*0.45+0.15)-(N49*0.385)*(O49*0.385),0)</f>
        <v>0.79065000000000007</v>
      </c>
      <c r="T49" s="25">
        <f t="shared" ref="T49" si="94">C49*S49</f>
        <v>8.7129630000000002</v>
      </c>
      <c r="U49" s="235" t="s">
        <v>184</v>
      </c>
      <c r="V49" s="25">
        <f t="shared" si="12"/>
        <v>1.2793499999999998</v>
      </c>
      <c r="W49" s="25">
        <f t="shared" si="37"/>
        <v>14.098436999999997</v>
      </c>
      <c r="X49" s="25">
        <f t="shared" si="32"/>
        <v>2.5</v>
      </c>
      <c r="Y49" s="29">
        <f t="shared" si="33"/>
        <v>2.7549999999999999</v>
      </c>
      <c r="Z49" s="160"/>
      <c r="AA49" s="279" t="s">
        <v>184</v>
      </c>
      <c r="AB49" s="76">
        <f t="shared" si="13"/>
        <v>27.549999999999997</v>
      </c>
      <c r="AC49" s="279" t="s">
        <v>184</v>
      </c>
      <c r="AD49" s="161">
        <f t="shared" si="14"/>
        <v>38.57</v>
      </c>
      <c r="AE49" s="163">
        <f>X49*C49</f>
        <v>27.549999999999997</v>
      </c>
      <c r="AF49" s="76">
        <f t="shared" si="16"/>
        <v>61.546699999999987</v>
      </c>
      <c r="AG49" s="161">
        <f t="shared" si="17"/>
        <v>68.654600000000002</v>
      </c>
      <c r="AH49" s="235" t="s">
        <v>184</v>
      </c>
      <c r="AI49" s="167">
        <f t="shared" si="18"/>
        <v>61.546699999999987</v>
      </c>
      <c r="AJ49" s="174">
        <f t="shared" si="19"/>
        <v>123.09339999999997</v>
      </c>
      <c r="AK49" s="167" t="str">
        <f t="shared" si="20"/>
        <v>Pod kolejemi</v>
      </c>
      <c r="AL49" s="167">
        <f t="shared" si="0"/>
        <v>1.7</v>
      </c>
      <c r="AM49" s="167">
        <f t="shared" si="1"/>
        <v>10.513875000000001</v>
      </c>
      <c r="AN49" s="167">
        <f t="shared" si="21"/>
        <v>115.8629025</v>
      </c>
      <c r="AO49" s="167">
        <f t="shared" si="90"/>
        <v>8.7638750000000005</v>
      </c>
      <c r="AP49" s="167">
        <f>C49*AO49</f>
        <v>96.577902500000008</v>
      </c>
      <c r="AQ49" s="242" t="s">
        <v>184</v>
      </c>
      <c r="AR49" s="285">
        <f t="shared" si="22"/>
        <v>40.553600000000003</v>
      </c>
      <c r="AS49" s="285">
        <f t="shared" si="23"/>
        <v>103.91859999999998</v>
      </c>
      <c r="AT49" s="285"/>
      <c r="AU49" s="285">
        <f t="shared" si="4"/>
        <v>0</v>
      </c>
      <c r="AV49" s="184"/>
      <c r="AW49" s="186"/>
      <c r="AX49" t="str">
        <f>B49</f>
        <v>Š19-Š20</v>
      </c>
    </row>
    <row r="50" spans="1:50" ht="15.75" x14ac:dyDescent="0.25">
      <c r="A50">
        <f t="shared" si="24"/>
        <v>23</v>
      </c>
      <c r="B50" s="84" t="s">
        <v>235</v>
      </c>
      <c r="C50" s="192">
        <v>25.56</v>
      </c>
      <c r="D50" s="25">
        <f t="shared" si="6"/>
        <v>26.139999999999997</v>
      </c>
      <c r="E50" s="237" t="s">
        <v>189</v>
      </c>
      <c r="F50" s="113"/>
      <c r="G50" s="113">
        <f t="shared" ref="G50:G52" si="95">IF(O50&gt;0,O50*0.45,O50*0.45)</f>
        <v>0.9</v>
      </c>
      <c r="H50" s="28"/>
      <c r="I50" s="27">
        <f t="shared" si="47"/>
        <v>0</v>
      </c>
      <c r="J50" s="118"/>
      <c r="K50" s="113">
        <f t="shared" si="51"/>
        <v>0</v>
      </c>
      <c r="L50" s="28"/>
      <c r="M50" s="27">
        <f t="shared" si="69"/>
        <v>0</v>
      </c>
      <c r="N50" s="28">
        <v>1</v>
      </c>
      <c r="O50" s="72">
        <v>2</v>
      </c>
      <c r="P50" s="72">
        <f t="shared" si="30"/>
        <v>2</v>
      </c>
      <c r="Q50" s="27">
        <f t="shared" si="9"/>
        <v>54</v>
      </c>
      <c r="R50" s="157" t="s">
        <v>184</v>
      </c>
      <c r="S50" s="73">
        <f t="shared" si="93"/>
        <v>0.43855</v>
      </c>
      <c r="T50" s="25">
        <f t="shared" ref="T50:T52" si="96">IF(R50="ano",C50*S50,0)</f>
        <v>11.209337999999999</v>
      </c>
      <c r="U50" s="235" t="s">
        <v>183</v>
      </c>
      <c r="V50" s="25">
        <f t="shared" si="12"/>
        <v>0</v>
      </c>
      <c r="W50" s="25">
        <f t="shared" si="37"/>
        <v>0</v>
      </c>
      <c r="X50" s="25">
        <f t="shared" si="32"/>
        <v>1.7000000000000002</v>
      </c>
      <c r="Y50" s="29">
        <f t="shared" ref="Y50:Y52" si="97">C50*X50*0.1</f>
        <v>4.3452000000000011</v>
      </c>
      <c r="Z50" s="160"/>
      <c r="AA50" s="279" t="s">
        <v>183</v>
      </c>
      <c r="AB50" s="76">
        <f t="shared" si="13"/>
        <v>0</v>
      </c>
      <c r="AC50" s="279" t="s">
        <v>183</v>
      </c>
      <c r="AD50" s="161">
        <f t="shared" si="14"/>
        <v>0</v>
      </c>
      <c r="AE50" s="163">
        <f t="shared" ref="AE50:AE52" si="98">X50*C50</f>
        <v>43.452000000000005</v>
      </c>
      <c r="AF50" s="76">
        <f t="shared" si="16"/>
        <v>0</v>
      </c>
      <c r="AG50" s="161">
        <f t="shared" si="17"/>
        <v>0</v>
      </c>
      <c r="AH50" s="235" t="s">
        <v>183</v>
      </c>
      <c r="AI50" s="167">
        <f t="shared" si="18"/>
        <v>0</v>
      </c>
      <c r="AJ50" s="174">
        <f t="shared" si="19"/>
        <v>0</v>
      </c>
      <c r="AK50" s="167" t="str">
        <f t="shared" ref="AK50:AK52" si="99">E50</f>
        <v>nástupiště</v>
      </c>
      <c r="AL50" s="167">
        <f t="shared" si="0"/>
        <v>0.35</v>
      </c>
      <c r="AM50" s="167">
        <f t="shared" si="1"/>
        <v>3.0273750000000001</v>
      </c>
      <c r="AN50" s="167">
        <f t="shared" si="21"/>
        <v>77.379705000000001</v>
      </c>
      <c r="AO50" s="167">
        <f t="shared" si="90"/>
        <v>2.3573750000000002</v>
      </c>
      <c r="AP50" s="167">
        <f t="shared" ref="AP50:AP52" si="100">C50*AO50</f>
        <v>60.254505000000002</v>
      </c>
      <c r="AQ50" s="242"/>
      <c r="AR50" s="285">
        <f t="shared" si="22"/>
        <v>0</v>
      </c>
      <c r="AS50" s="285">
        <f t="shared" si="23"/>
        <v>0</v>
      </c>
      <c r="AT50" s="285"/>
      <c r="AU50" s="285">
        <f t="shared" si="4"/>
        <v>0</v>
      </c>
      <c r="AV50" s="184" t="s">
        <v>184</v>
      </c>
      <c r="AW50" s="186"/>
      <c r="AX50" t="str">
        <f t="shared" ref="AX50:AX52" si="101">B50</f>
        <v>Š20-Š20a</v>
      </c>
    </row>
    <row r="51" spans="1:50" ht="15.75" x14ac:dyDescent="0.25">
      <c r="B51" s="84" t="s">
        <v>299</v>
      </c>
      <c r="C51" s="192">
        <v>15.19</v>
      </c>
      <c r="D51" s="25">
        <f t="shared" si="6"/>
        <v>15.77</v>
      </c>
      <c r="E51" s="237" t="s">
        <v>189</v>
      </c>
      <c r="F51" s="113"/>
      <c r="G51" s="113">
        <v>0.9</v>
      </c>
      <c r="H51" s="28"/>
      <c r="I51" s="27">
        <v>0</v>
      </c>
      <c r="J51" s="118"/>
      <c r="K51" s="113">
        <v>0</v>
      </c>
      <c r="L51" s="28"/>
      <c r="M51" s="27">
        <v>0</v>
      </c>
      <c r="N51" s="28">
        <v>1</v>
      </c>
      <c r="O51" s="72">
        <v>2</v>
      </c>
      <c r="P51" s="72">
        <f t="shared" si="30"/>
        <v>2</v>
      </c>
      <c r="Q51" s="27">
        <f t="shared" si="9"/>
        <v>32</v>
      </c>
      <c r="R51" s="157"/>
      <c r="S51" s="73"/>
      <c r="T51" s="25"/>
      <c r="U51" s="235"/>
      <c r="V51" s="25"/>
      <c r="W51" s="25"/>
      <c r="X51" s="25"/>
      <c r="Y51" s="29"/>
      <c r="Z51" s="160"/>
      <c r="AA51" s="279"/>
      <c r="AB51" s="76"/>
      <c r="AC51" s="279"/>
      <c r="AD51" s="161"/>
      <c r="AE51" s="163"/>
      <c r="AF51" s="76"/>
      <c r="AG51" s="161"/>
      <c r="AH51" s="235"/>
      <c r="AI51" s="167"/>
      <c r="AJ51" s="174"/>
      <c r="AK51" s="167"/>
      <c r="AL51" s="167"/>
      <c r="AM51" s="167"/>
      <c r="AN51" s="167"/>
      <c r="AO51" s="167"/>
      <c r="AP51" s="167"/>
      <c r="AQ51" s="242"/>
      <c r="AR51" s="285">
        <f t="shared" si="22"/>
        <v>0</v>
      </c>
      <c r="AS51" s="285">
        <f t="shared" si="23"/>
        <v>0</v>
      </c>
      <c r="AT51" s="285"/>
      <c r="AU51" s="285">
        <f t="shared" si="4"/>
        <v>0</v>
      </c>
      <c r="AV51" s="184"/>
      <c r="AW51" s="186"/>
      <c r="AX51" t="str">
        <f t="shared" si="101"/>
        <v>Š20a-Š20b</v>
      </c>
    </row>
    <row r="52" spans="1:50" ht="15.75" x14ac:dyDescent="0.25">
      <c r="A52">
        <f>IF(B52&gt;0,A50+1,A49+1)</f>
        <v>24</v>
      </c>
      <c r="B52" s="84" t="s">
        <v>300</v>
      </c>
      <c r="C52" s="192">
        <v>7.69</v>
      </c>
      <c r="D52" s="25">
        <f t="shared" si="6"/>
        <v>8.27</v>
      </c>
      <c r="E52" s="237" t="s">
        <v>189</v>
      </c>
      <c r="F52" s="113"/>
      <c r="G52" s="113">
        <f t="shared" si="95"/>
        <v>0</v>
      </c>
      <c r="H52" s="28">
        <v>18</v>
      </c>
      <c r="I52" s="27">
        <f t="shared" si="47"/>
        <v>162</v>
      </c>
      <c r="J52" s="118"/>
      <c r="K52" s="113">
        <f t="shared" si="51"/>
        <v>0</v>
      </c>
      <c r="L52" s="28"/>
      <c r="M52" s="27">
        <f t="shared" si="69"/>
        <v>0</v>
      </c>
      <c r="N52" s="28">
        <v>0</v>
      </c>
      <c r="O52" s="72">
        <v>0</v>
      </c>
      <c r="P52" s="72">
        <v>0</v>
      </c>
      <c r="Q52" s="27">
        <f t="shared" si="9"/>
        <v>0</v>
      </c>
      <c r="R52" s="157" t="s">
        <v>184</v>
      </c>
      <c r="S52" s="277">
        <v>0.5</v>
      </c>
      <c r="T52" s="25">
        <f t="shared" si="96"/>
        <v>3.8450000000000002</v>
      </c>
      <c r="U52" s="235" t="s">
        <v>183</v>
      </c>
      <c r="V52" s="25">
        <f t="shared" si="12"/>
        <v>0</v>
      </c>
      <c r="W52" s="25">
        <f t="shared" si="37"/>
        <v>0</v>
      </c>
      <c r="X52" s="282">
        <f>IF(C52&gt;0,H52*0.1+J52*0.15+L52*0.2+0.3+0.6,0)</f>
        <v>2.7</v>
      </c>
      <c r="Y52" s="29">
        <f t="shared" si="97"/>
        <v>2.0763000000000003</v>
      </c>
      <c r="Z52" s="160"/>
      <c r="AA52" s="279" t="s">
        <v>183</v>
      </c>
      <c r="AB52" s="76">
        <f t="shared" si="13"/>
        <v>0</v>
      </c>
      <c r="AC52" s="279" t="s">
        <v>183</v>
      </c>
      <c r="AD52" s="161">
        <f t="shared" si="14"/>
        <v>0</v>
      </c>
      <c r="AE52" s="163">
        <f t="shared" si="98"/>
        <v>20.763000000000002</v>
      </c>
      <c r="AF52" s="76">
        <f t="shared" si="16"/>
        <v>0</v>
      </c>
      <c r="AG52" s="161">
        <f t="shared" si="17"/>
        <v>0</v>
      </c>
      <c r="AH52" s="235" t="s">
        <v>183</v>
      </c>
      <c r="AI52" s="167">
        <f t="shared" si="18"/>
        <v>0</v>
      </c>
      <c r="AJ52" s="174">
        <f t="shared" si="19"/>
        <v>0</v>
      </c>
      <c r="AK52" s="167" t="str">
        <f t="shared" si="99"/>
        <v>nástupiště</v>
      </c>
      <c r="AL52" s="167">
        <f t="shared" si="0"/>
        <v>0.35</v>
      </c>
      <c r="AM52" s="167">
        <f t="shared" si="1"/>
        <v>0.88324999999999987</v>
      </c>
      <c r="AN52" s="167">
        <f t="shared" si="21"/>
        <v>6.7921924999999996</v>
      </c>
      <c r="AO52" s="167">
        <f t="shared" si="90"/>
        <v>-1.1867500000000004</v>
      </c>
      <c r="AP52" s="167">
        <f t="shared" si="100"/>
        <v>-9.1261075000000034</v>
      </c>
      <c r="AQ52" s="242"/>
      <c r="AR52" s="285">
        <f t="shared" si="22"/>
        <v>0</v>
      </c>
      <c r="AS52" s="285">
        <f t="shared" si="23"/>
        <v>0</v>
      </c>
      <c r="AT52" s="285"/>
      <c r="AU52" s="285">
        <f t="shared" si="4"/>
        <v>0</v>
      </c>
      <c r="AV52" s="184" t="s">
        <v>184</v>
      </c>
      <c r="AW52" s="186"/>
      <c r="AX52" t="str">
        <f t="shared" si="101"/>
        <v>Š20b-nástupiště</v>
      </c>
    </row>
    <row r="53" spans="1:50" ht="15.75" x14ac:dyDescent="0.25">
      <c r="A53">
        <f>IF(B53&gt;0,A52+1,A50+1)</f>
        <v>24</v>
      </c>
      <c r="B53" s="84"/>
      <c r="C53" s="192"/>
      <c r="D53" s="25"/>
      <c r="E53" s="237" t="s">
        <v>189</v>
      </c>
      <c r="F53" s="113"/>
      <c r="G53" s="113"/>
      <c r="H53" s="28"/>
      <c r="I53" s="27"/>
      <c r="J53" s="118"/>
      <c r="K53" s="113">
        <f t="shared" si="51"/>
        <v>0</v>
      </c>
      <c r="L53" s="28"/>
      <c r="M53" s="27">
        <f t="shared" si="69"/>
        <v>0</v>
      </c>
      <c r="N53" s="28"/>
      <c r="O53" s="72"/>
      <c r="P53" s="72"/>
      <c r="Q53" s="27"/>
      <c r="R53" s="157"/>
      <c r="S53" s="73">
        <f t="shared" si="79"/>
        <v>0</v>
      </c>
      <c r="T53" s="25"/>
      <c r="U53" s="235">
        <f t="shared" si="91"/>
        <v>0</v>
      </c>
      <c r="V53" s="25">
        <f t="shared" si="12"/>
        <v>0</v>
      </c>
      <c r="W53" s="25"/>
      <c r="X53" s="25">
        <f t="shared" si="32"/>
        <v>0</v>
      </c>
      <c r="Y53" s="29">
        <f t="shared" si="33"/>
        <v>0</v>
      </c>
      <c r="Z53" s="160"/>
      <c r="AA53" s="279"/>
      <c r="AB53" s="76">
        <f t="shared" si="13"/>
        <v>0</v>
      </c>
      <c r="AC53" s="279"/>
      <c r="AD53" s="161">
        <f t="shared" si="14"/>
        <v>0</v>
      </c>
      <c r="AE53" s="163"/>
      <c r="AF53" s="76">
        <f t="shared" si="16"/>
        <v>0</v>
      </c>
      <c r="AG53" s="161">
        <f t="shared" si="17"/>
        <v>0</v>
      </c>
      <c r="AH53" s="235">
        <f t="shared" si="92"/>
        <v>0</v>
      </c>
      <c r="AI53" s="167">
        <f t="shared" si="18"/>
        <v>0</v>
      </c>
      <c r="AJ53" s="174"/>
      <c r="AK53" s="167" t="str">
        <f t="shared" si="20"/>
        <v>nástupiště</v>
      </c>
      <c r="AL53" s="167">
        <f t="shared" si="0"/>
        <v>0.35</v>
      </c>
      <c r="AM53" s="167">
        <f t="shared" si="1"/>
        <v>0.52324999999999988</v>
      </c>
      <c r="AN53" s="167">
        <f t="shared" si="21"/>
        <v>0</v>
      </c>
      <c r="AO53" s="167">
        <f t="shared" si="90"/>
        <v>0.52324999999999988</v>
      </c>
      <c r="AP53" s="167"/>
      <c r="AQ53" s="242"/>
      <c r="AR53" s="285">
        <f t="shared" si="22"/>
        <v>0</v>
      </c>
      <c r="AS53" s="285">
        <f t="shared" si="23"/>
        <v>0</v>
      </c>
      <c r="AT53" s="285"/>
      <c r="AU53" s="285">
        <f t="shared" si="4"/>
        <v>0</v>
      </c>
      <c r="AV53" s="184"/>
      <c r="AW53" s="186"/>
    </row>
    <row r="54" spans="1:50" ht="15.75" x14ac:dyDescent="0.25">
      <c r="A54">
        <f t="shared" si="24"/>
        <v>25</v>
      </c>
      <c r="B54" s="84" t="s">
        <v>230</v>
      </c>
      <c r="C54" s="192">
        <v>14.15</v>
      </c>
      <c r="D54" s="25">
        <f t="shared" ref="D54:D57" si="102">IF(C54&gt;0,C54+0.58,0)</f>
        <v>14.73</v>
      </c>
      <c r="E54" s="238" t="s">
        <v>190</v>
      </c>
      <c r="F54" s="113"/>
      <c r="G54" s="113">
        <f>IF(O54&gt;0,O54*0.45+2*Z54,O54*0.45)</f>
        <v>0.9</v>
      </c>
      <c r="H54" s="28"/>
      <c r="I54" s="27">
        <f t="shared" ref="I54:I57" si="103">IF(C54&gt;0,CEILING(C54+0.58,1)*H54,0)</f>
        <v>0</v>
      </c>
      <c r="J54" s="118"/>
      <c r="K54" s="113">
        <f t="shared" si="51"/>
        <v>0</v>
      </c>
      <c r="L54" s="28"/>
      <c r="M54" s="27">
        <f t="shared" si="69"/>
        <v>0</v>
      </c>
      <c r="N54" s="28">
        <v>3</v>
      </c>
      <c r="O54" s="72">
        <v>2</v>
      </c>
      <c r="P54" s="72">
        <f t="shared" ref="P54:P55" si="104">N54*O54</f>
        <v>6</v>
      </c>
      <c r="Q54" s="27">
        <f t="shared" ref="Q54:Q57" si="105">IF(C54&gt;0,CEILING(C54+0.58,1)*P54,0)</f>
        <v>90</v>
      </c>
      <c r="R54" s="157" t="s">
        <v>184</v>
      </c>
      <c r="S54" s="73">
        <f t="shared" ref="S54:S55" si="106">IF(R54="ano",(N54*0.45+0.25)*(O54*0.45+0.15)-(N54*0.385)*(O54*0.385),0)</f>
        <v>0.79065000000000007</v>
      </c>
      <c r="T54" s="25">
        <f t="shared" ref="T54" si="107">C54*S54</f>
        <v>11.187697500000001</v>
      </c>
      <c r="U54" s="235" t="s">
        <v>184</v>
      </c>
      <c r="V54" s="25">
        <f t="shared" si="12"/>
        <v>1.2793499999999998</v>
      </c>
      <c r="W54" s="25">
        <f t="shared" ref="W54:W57" si="108">C54*V54</f>
        <v>18.102802499999996</v>
      </c>
      <c r="X54" s="25">
        <f t="shared" si="32"/>
        <v>2.5</v>
      </c>
      <c r="Y54" s="29">
        <f t="shared" ref="Y54:Y57" si="109">C54*X54*0.1</f>
        <v>3.5375000000000001</v>
      </c>
      <c r="Z54" s="160"/>
      <c r="AA54" s="279" t="s">
        <v>184</v>
      </c>
      <c r="AB54" s="76">
        <f t="shared" si="13"/>
        <v>35.375</v>
      </c>
      <c r="AC54" s="279" t="s">
        <v>184</v>
      </c>
      <c r="AD54" s="161">
        <f t="shared" si="14"/>
        <v>49.525000000000006</v>
      </c>
      <c r="AE54" s="163">
        <f>X54*C54</f>
        <v>35.375</v>
      </c>
      <c r="AF54" s="76">
        <f t="shared" si="16"/>
        <v>79.027749999999983</v>
      </c>
      <c r="AG54" s="161">
        <f t="shared" si="17"/>
        <v>88.154500000000013</v>
      </c>
      <c r="AH54" s="235" t="s">
        <v>184</v>
      </c>
      <c r="AI54" s="167">
        <f t="shared" si="18"/>
        <v>79.027749999999983</v>
      </c>
      <c r="AJ54" s="174">
        <f t="shared" ref="AJ54:AJ57" si="110">AI54*2</f>
        <v>158.05549999999997</v>
      </c>
      <c r="AK54" s="167" t="str">
        <f t="shared" ref="AK54:AK57" si="111">E54</f>
        <v>Pod kolejemi</v>
      </c>
      <c r="AL54" s="167">
        <f t="shared" si="0"/>
        <v>1.7</v>
      </c>
      <c r="AM54" s="167">
        <f t="shared" si="1"/>
        <v>10.513875000000001</v>
      </c>
      <c r="AN54" s="167">
        <f t="shared" si="21"/>
        <v>148.77133125</v>
      </c>
      <c r="AO54" s="167">
        <f t="shared" si="90"/>
        <v>8.7638750000000005</v>
      </c>
      <c r="AP54" s="167">
        <f>C54*AO54</f>
        <v>124.00883125000001</v>
      </c>
      <c r="AQ54" s="242" t="s">
        <v>184</v>
      </c>
      <c r="AR54" s="285">
        <f t="shared" si="22"/>
        <v>52.071999999999996</v>
      </c>
      <c r="AS54" s="285">
        <f t="shared" si="23"/>
        <v>133.43449999999999</v>
      </c>
      <c r="AT54" s="285"/>
      <c r="AU54" s="285">
        <f t="shared" si="4"/>
        <v>0</v>
      </c>
      <c r="AV54" s="184"/>
      <c r="AW54" s="186"/>
      <c r="AX54" t="str">
        <f>B54</f>
        <v>Š20-Š21</v>
      </c>
    </row>
    <row r="55" spans="1:50" ht="15.75" x14ac:dyDescent="0.25">
      <c r="A55">
        <f t="shared" si="24"/>
        <v>26</v>
      </c>
      <c r="B55" s="84" t="s">
        <v>236</v>
      </c>
      <c r="C55" s="192">
        <v>29.81</v>
      </c>
      <c r="D55" s="25">
        <f t="shared" si="102"/>
        <v>30.389999999999997</v>
      </c>
      <c r="E55" s="237" t="s">
        <v>189</v>
      </c>
      <c r="F55" s="113"/>
      <c r="G55" s="113">
        <f t="shared" ref="G55:G57" si="112">IF(O55&gt;0,O55*0.45,O55*0.45)</f>
        <v>0.9</v>
      </c>
      <c r="H55" s="28"/>
      <c r="I55" s="27">
        <f t="shared" si="103"/>
        <v>0</v>
      </c>
      <c r="J55" s="118"/>
      <c r="K55" s="113">
        <f t="shared" si="51"/>
        <v>0</v>
      </c>
      <c r="L55" s="28"/>
      <c r="M55" s="27">
        <f t="shared" si="69"/>
        <v>0</v>
      </c>
      <c r="N55" s="28">
        <v>1</v>
      </c>
      <c r="O55" s="72">
        <v>2</v>
      </c>
      <c r="P55" s="72">
        <f t="shared" si="104"/>
        <v>2</v>
      </c>
      <c r="Q55" s="27">
        <f t="shared" si="105"/>
        <v>62</v>
      </c>
      <c r="R55" s="157" t="s">
        <v>184</v>
      </c>
      <c r="S55" s="73">
        <f t="shared" si="106"/>
        <v>0.43855</v>
      </c>
      <c r="T55" s="25">
        <f t="shared" ref="T55:T57" si="113">IF(R55="ano",C55*S55,0)</f>
        <v>13.0731755</v>
      </c>
      <c r="U55" s="235" t="s">
        <v>183</v>
      </c>
      <c r="V55" s="25">
        <f t="shared" si="12"/>
        <v>0</v>
      </c>
      <c r="W55" s="25">
        <f t="shared" si="108"/>
        <v>0</v>
      </c>
      <c r="X55" s="25">
        <f t="shared" si="32"/>
        <v>1.7000000000000002</v>
      </c>
      <c r="Y55" s="29">
        <f t="shared" si="109"/>
        <v>5.0677000000000003</v>
      </c>
      <c r="Z55" s="160"/>
      <c r="AA55" s="279" t="s">
        <v>183</v>
      </c>
      <c r="AB55" s="76">
        <f t="shared" si="13"/>
        <v>0</v>
      </c>
      <c r="AC55" s="279" t="s">
        <v>183</v>
      </c>
      <c r="AD55" s="161">
        <f t="shared" si="14"/>
        <v>0</v>
      </c>
      <c r="AE55" s="163">
        <f t="shared" ref="AE55:AE57" si="114">X55*C55</f>
        <v>50.677</v>
      </c>
      <c r="AF55" s="76">
        <f t="shared" si="16"/>
        <v>0</v>
      </c>
      <c r="AG55" s="161">
        <f t="shared" si="17"/>
        <v>0</v>
      </c>
      <c r="AH55" s="235" t="s">
        <v>183</v>
      </c>
      <c r="AI55" s="167">
        <f t="shared" si="18"/>
        <v>0</v>
      </c>
      <c r="AJ55" s="174">
        <f t="shared" si="110"/>
        <v>0</v>
      </c>
      <c r="AK55" s="167" t="str">
        <f t="shared" si="111"/>
        <v>nástupiště</v>
      </c>
      <c r="AL55" s="167">
        <f t="shared" si="0"/>
        <v>0.35</v>
      </c>
      <c r="AM55" s="167">
        <f t="shared" si="1"/>
        <v>3.0273750000000001</v>
      </c>
      <c r="AN55" s="167">
        <f t="shared" si="21"/>
        <v>90.24604875</v>
      </c>
      <c r="AO55" s="167">
        <f t="shared" si="90"/>
        <v>2.3573750000000002</v>
      </c>
      <c r="AP55" s="167">
        <f t="shared" ref="AP55:AP57" si="115">C55*AO55</f>
        <v>70.273348749999997</v>
      </c>
      <c r="AQ55" s="242"/>
      <c r="AR55" s="285">
        <f t="shared" si="22"/>
        <v>0</v>
      </c>
      <c r="AS55" s="285">
        <f t="shared" si="23"/>
        <v>0</v>
      </c>
      <c r="AT55" s="285"/>
      <c r="AU55" s="285">
        <f t="shared" si="4"/>
        <v>0</v>
      </c>
      <c r="AV55" s="184" t="s">
        <v>184</v>
      </c>
      <c r="AW55" s="186"/>
      <c r="AX55" t="str">
        <f t="shared" ref="AX55:AX57" si="116">B55</f>
        <v>Š21-Š21a</v>
      </c>
    </row>
    <row r="56" spans="1:50" ht="15.75" x14ac:dyDescent="0.25">
      <c r="B56" s="84" t="s">
        <v>301</v>
      </c>
      <c r="C56" s="192">
        <v>19.22</v>
      </c>
      <c r="D56" s="25">
        <f t="shared" si="102"/>
        <v>19.799999999999997</v>
      </c>
      <c r="E56" s="237" t="s">
        <v>189</v>
      </c>
      <c r="F56" s="113"/>
      <c r="G56" s="113"/>
      <c r="H56" s="28"/>
      <c r="I56" s="27"/>
      <c r="J56" s="118"/>
      <c r="K56" s="113">
        <f t="shared" si="51"/>
        <v>0</v>
      </c>
      <c r="L56" s="28"/>
      <c r="M56" s="27">
        <f t="shared" si="69"/>
        <v>0</v>
      </c>
      <c r="N56" s="28"/>
      <c r="O56" s="72"/>
      <c r="P56" s="72"/>
      <c r="Q56" s="27"/>
      <c r="R56" s="157"/>
      <c r="S56" s="73"/>
      <c r="T56" s="25"/>
      <c r="U56" s="235"/>
      <c r="V56" s="25"/>
      <c r="W56" s="25"/>
      <c r="X56" s="25"/>
      <c r="Y56" s="29"/>
      <c r="Z56" s="160"/>
      <c r="AA56" s="279"/>
      <c r="AB56" s="76"/>
      <c r="AC56" s="279"/>
      <c r="AD56" s="161"/>
      <c r="AE56" s="163"/>
      <c r="AF56" s="76"/>
      <c r="AG56" s="161"/>
      <c r="AH56" s="235"/>
      <c r="AI56" s="167"/>
      <c r="AJ56" s="174"/>
      <c r="AK56" s="167"/>
      <c r="AL56" s="167"/>
      <c r="AM56" s="167"/>
      <c r="AN56" s="167"/>
      <c r="AO56" s="167"/>
      <c r="AP56" s="167"/>
      <c r="AQ56" s="242"/>
      <c r="AR56" s="285"/>
      <c r="AS56" s="285"/>
      <c r="AT56" s="285"/>
      <c r="AU56" s="285"/>
      <c r="AV56" s="184"/>
      <c r="AW56" s="186"/>
      <c r="AX56" t="str">
        <f t="shared" si="116"/>
        <v>Š21a-Š21b</v>
      </c>
    </row>
    <row r="57" spans="1:50" ht="15.75" x14ac:dyDescent="0.25">
      <c r="A57">
        <f>IF(B57&gt;0,A55+1,A54+1)</f>
        <v>27</v>
      </c>
      <c r="B57" s="84" t="s">
        <v>302</v>
      </c>
      <c r="C57" s="192">
        <v>7.64</v>
      </c>
      <c r="D57" s="25">
        <f t="shared" si="102"/>
        <v>8.2199999999999989</v>
      </c>
      <c r="E57" s="237" t="s">
        <v>189</v>
      </c>
      <c r="F57" s="113"/>
      <c r="G57" s="113">
        <f t="shared" si="112"/>
        <v>0</v>
      </c>
      <c r="H57" s="28">
        <v>18</v>
      </c>
      <c r="I57" s="27">
        <f t="shared" si="103"/>
        <v>162</v>
      </c>
      <c r="J57" s="118"/>
      <c r="K57" s="113">
        <f t="shared" si="51"/>
        <v>0</v>
      </c>
      <c r="L57" s="28"/>
      <c r="M57" s="27">
        <f t="shared" si="69"/>
        <v>0</v>
      </c>
      <c r="N57" s="28"/>
      <c r="O57" s="72"/>
      <c r="P57" s="72"/>
      <c r="Q57" s="27">
        <f t="shared" si="105"/>
        <v>0</v>
      </c>
      <c r="R57" s="157" t="s">
        <v>184</v>
      </c>
      <c r="S57" s="277">
        <v>0.5</v>
      </c>
      <c r="T57" s="25">
        <f t="shared" si="113"/>
        <v>3.82</v>
      </c>
      <c r="U57" s="235" t="s">
        <v>183</v>
      </c>
      <c r="V57" s="25">
        <f t="shared" si="12"/>
        <v>0</v>
      </c>
      <c r="W57" s="25">
        <f t="shared" si="108"/>
        <v>0</v>
      </c>
      <c r="X57" s="282">
        <f>IF(C57&gt;0,H57*0.1+J57*0.15+L57*0.2+0.3+0.6,0)</f>
        <v>2.7</v>
      </c>
      <c r="Y57" s="29">
        <f t="shared" si="109"/>
        <v>2.0628000000000002</v>
      </c>
      <c r="Z57" s="160"/>
      <c r="AA57" s="279" t="s">
        <v>183</v>
      </c>
      <c r="AB57" s="76">
        <f t="shared" si="13"/>
        <v>0</v>
      </c>
      <c r="AC57" s="279" t="s">
        <v>183</v>
      </c>
      <c r="AD57" s="161">
        <f t="shared" si="14"/>
        <v>0</v>
      </c>
      <c r="AE57" s="163">
        <f t="shared" si="114"/>
        <v>20.628</v>
      </c>
      <c r="AF57" s="76">
        <f t="shared" si="16"/>
        <v>0</v>
      </c>
      <c r="AG57" s="161">
        <f t="shared" si="17"/>
        <v>0</v>
      </c>
      <c r="AH57" s="235" t="s">
        <v>183</v>
      </c>
      <c r="AI57" s="167">
        <f t="shared" si="18"/>
        <v>0</v>
      </c>
      <c r="AJ57" s="174">
        <f t="shared" si="110"/>
        <v>0</v>
      </c>
      <c r="AK57" s="167" t="str">
        <f t="shared" si="111"/>
        <v>nástupiště</v>
      </c>
      <c r="AL57" s="167">
        <f t="shared" si="0"/>
        <v>0.35</v>
      </c>
      <c r="AM57" s="167">
        <f t="shared" si="1"/>
        <v>0.88324999999999987</v>
      </c>
      <c r="AN57" s="167">
        <f t="shared" si="21"/>
        <v>6.7480299999999991</v>
      </c>
      <c r="AO57" s="167">
        <f t="shared" si="90"/>
        <v>-1.1867500000000004</v>
      </c>
      <c r="AP57" s="167">
        <f t="shared" si="115"/>
        <v>-9.0667700000000035</v>
      </c>
      <c r="AQ57" s="242"/>
      <c r="AR57" s="285">
        <f t="shared" si="22"/>
        <v>0</v>
      </c>
      <c r="AS57" s="285">
        <f t="shared" si="23"/>
        <v>0</v>
      </c>
      <c r="AT57" s="285"/>
      <c r="AU57" s="285">
        <f t="shared" si="4"/>
        <v>0</v>
      </c>
      <c r="AV57" s="184" t="s">
        <v>184</v>
      </c>
      <c r="AW57" s="186"/>
      <c r="AX57" t="str">
        <f t="shared" si="116"/>
        <v>Š21b-nástupiště</v>
      </c>
    </row>
    <row r="58" spans="1:50" ht="15.75" x14ac:dyDescent="0.25">
      <c r="A58">
        <f>IF(B58&gt;0,A57+1,A55+1)</f>
        <v>27</v>
      </c>
      <c r="B58" s="84"/>
      <c r="C58" s="192"/>
      <c r="D58" s="25"/>
      <c r="E58" s="237" t="s">
        <v>189</v>
      </c>
      <c r="F58" s="113"/>
      <c r="G58" s="113"/>
      <c r="H58" s="28"/>
      <c r="I58" s="27"/>
      <c r="J58" s="118"/>
      <c r="K58" s="113">
        <f t="shared" si="51"/>
        <v>0</v>
      </c>
      <c r="L58" s="28"/>
      <c r="M58" s="27">
        <f t="shared" si="69"/>
        <v>0</v>
      </c>
      <c r="N58" s="28"/>
      <c r="O58" s="72"/>
      <c r="P58" s="72"/>
      <c r="Q58" s="27"/>
      <c r="R58" s="157"/>
      <c r="S58" s="73">
        <f t="shared" si="79"/>
        <v>0</v>
      </c>
      <c r="T58" s="25"/>
      <c r="U58" s="235"/>
      <c r="V58" s="25">
        <f t="shared" si="12"/>
        <v>0</v>
      </c>
      <c r="W58" s="25"/>
      <c r="X58" s="25">
        <f t="shared" si="32"/>
        <v>0</v>
      </c>
      <c r="Y58" s="29"/>
      <c r="Z58" s="160"/>
      <c r="AA58" s="279"/>
      <c r="AB58" s="76">
        <f t="shared" si="13"/>
        <v>0</v>
      </c>
      <c r="AC58" s="279"/>
      <c r="AD58" s="161">
        <f t="shared" si="14"/>
        <v>0</v>
      </c>
      <c r="AE58" s="163"/>
      <c r="AF58" s="76">
        <f t="shared" si="16"/>
        <v>0</v>
      </c>
      <c r="AG58" s="161">
        <f t="shared" si="17"/>
        <v>0</v>
      </c>
      <c r="AH58" s="235"/>
      <c r="AI58" s="167">
        <f t="shared" si="18"/>
        <v>0</v>
      </c>
      <c r="AJ58" s="174"/>
      <c r="AK58" s="167"/>
      <c r="AL58" s="167">
        <f t="shared" si="0"/>
        <v>0</v>
      </c>
      <c r="AM58" s="167">
        <f t="shared" si="1"/>
        <v>0</v>
      </c>
      <c r="AN58" s="167">
        <f t="shared" si="21"/>
        <v>0</v>
      </c>
      <c r="AO58" s="167">
        <f t="shared" si="90"/>
        <v>0</v>
      </c>
      <c r="AP58" s="167"/>
      <c r="AQ58" s="242"/>
      <c r="AR58" s="285">
        <f t="shared" si="22"/>
        <v>0</v>
      </c>
      <c r="AS58" s="285">
        <f t="shared" si="23"/>
        <v>0</v>
      </c>
      <c r="AT58" s="285"/>
      <c r="AU58" s="285">
        <f t="shared" si="4"/>
        <v>0</v>
      </c>
      <c r="AV58" s="184"/>
      <c r="AW58" s="186"/>
    </row>
    <row r="59" spans="1:50" ht="15.75" x14ac:dyDescent="0.25">
      <c r="A59">
        <f t="shared" si="24"/>
        <v>28</v>
      </c>
      <c r="B59" s="84" t="s">
        <v>160</v>
      </c>
      <c r="C59" s="192">
        <v>12.99</v>
      </c>
      <c r="D59" s="25">
        <f t="shared" ref="D59:D79" si="117">IF(C59&gt;0,C59+0.58,0)</f>
        <v>13.57</v>
      </c>
      <c r="E59" s="238" t="s">
        <v>190</v>
      </c>
      <c r="F59" s="113"/>
      <c r="G59" s="113">
        <f t="shared" ref="G59:G66" si="118">IF(O59&gt;0,O59*0.45+2*Z59,O59*0.45)</f>
        <v>0.9</v>
      </c>
      <c r="H59" s="28"/>
      <c r="I59" s="27">
        <f t="shared" ref="I59:I79" si="119">IF(C59&gt;0,CEILING(C59+0.58,1)*H59,0)</f>
        <v>0</v>
      </c>
      <c r="J59" s="118"/>
      <c r="K59" s="113">
        <f t="shared" si="51"/>
        <v>0</v>
      </c>
      <c r="L59" s="28"/>
      <c r="M59" s="27">
        <f t="shared" si="69"/>
        <v>0</v>
      </c>
      <c r="N59" s="28">
        <v>3</v>
      </c>
      <c r="O59" s="72">
        <v>2</v>
      </c>
      <c r="P59" s="72">
        <f t="shared" ref="P59:P100" si="120">N59*O59</f>
        <v>6</v>
      </c>
      <c r="Q59" s="27">
        <f t="shared" ref="Q59:Q79" si="121">IF(C59&gt;0,CEILING(C59+0.58,1)*P59,0)</f>
        <v>84</v>
      </c>
      <c r="R59" s="157" t="s">
        <v>184</v>
      </c>
      <c r="S59" s="73">
        <f t="shared" ref="S59:S62" si="122">IF(R59="ano",(N59*0.45+0.25)*(O59*0.45+0.15)-(N59*0.385)*(O59*0.385),0)</f>
        <v>0.79065000000000007</v>
      </c>
      <c r="T59" s="25">
        <f t="shared" ref="T59:T79" si="123">C59*S59</f>
        <v>10.2705435</v>
      </c>
      <c r="U59" s="235" t="s">
        <v>184</v>
      </c>
      <c r="V59" s="25">
        <f t="shared" si="12"/>
        <v>1.2793499999999998</v>
      </c>
      <c r="W59" s="25">
        <f t="shared" ref="W59:W79" si="124">C59*V59</f>
        <v>16.618756499999996</v>
      </c>
      <c r="X59" s="25">
        <f t="shared" si="32"/>
        <v>2.5</v>
      </c>
      <c r="Y59" s="29">
        <f t="shared" si="33"/>
        <v>3.2475000000000005</v>
      </c>
      <c r="Z59" s="160"/>
      <c r="AA59" s="279" t="s">
        <v>184</v>
      </c>
      <c r="AB59" s="76">
        <f t="shared" si="13"/>
        <v>32.475000000000001</v>
      </c>
      <c r="AC59" s="279" t="s">
        <v>184</v>
      </c>
      <c r="AD59" s="161">
        <f t="shared" si="14"/>
        <v>45.465000000000003</v>
      </c>
      <c r="AE59" s="163">
        <f t="shared" ref="AE59:AE66" si="125">X59*C59</f>
        <v>32.475000000000001</v>
      </c>
      <c r="AF59" s="76">
        <f t="shared" si="16"/>
        <v>72.549149999999983</v>
      </c>
      <c r="AG59" s="161">
        <f t="shared" si="17"/>
        <v>80.927700000000002</v>
      </c>
      <c r="AH59" s="235" t="s">
        <v>184</v>
      </c>
      <c r="AI59" s="167">
        <f t="shared" si="18"/>
        <v>72.549149999999983</v>
      </c>
      <c r="AJ59" s="174">
        <f t="shared" ref="AJ59:AJ79" si="126">AI59*2</f>
        <v>145.09829999999997</v>
      </c>
      <c r="AK59" s="167" t="str">
        <f t="shared" si="20"/>
        <v>Pod kolejemi</v>
      </c>
      <c r="AL59" s="167">
        <f t="shared" si="0"/>
        <v>1.7</v>
      </c>
      <c r="AM59" s="167">
        <f t="shared" si="1"/>
        <v>10.513875000000001</v>
      </c>
      <c r="AN59" s="167">
        <f t="shared" si="21"/>
        <v>136.57523625000002</v>
      </c>
      <c r="AO59" s="167">
        <f t="shared" si="90"/>
        <v>8.7638750000000005</v>
      </c>
      <c r="AP59" s="167">
        <f t="shared" ref="AP59:AP66" si="127">C59*AO59</f>
        <v>113.84273625000002</v>
      </c>
      <c r="AQ59" s="242" t="s">
        <v>184</v>
      </c>
      <c r="AR59" s="285">
        <f t="shared" si="22"/>
        <v>47.803200000000004</v>
      </c>
      <c r="AS59" s="285">
        <f t="shared" si="23"/>
        <v>122.49569999999997</v>
      </c>
      <c r="AT59" s="285"/>
      <c r="AU59" s="285">
        <f t="shared" si="4"/>
        <v>0</v>
      </c>
      <c r="AV59" s="184"/>
      <c r="AW59" s="186"/>
      <c r="AX59" t="str">
        <f t="shared" ref="AX59:AX66" si="128">B59</f>
        <v>Š21-Š22</v>
      </c>
    </row>
    <row r="60" spans="1:50" ht="15.75" x14ac:dyDescent="0.25">
      <c r="A60">
        <f t="shared" si="24"/>
        <v>29</v>
      </c>
      <c r="B60" s="84" t="s">
        <v>161</v>
      </c>
      <c r="C60" s="192">
        <v>32.68</v>
      </c>
      <c r="D60" s="25">
        <f t="shared" ref="D60" si="129">IF(C60&gt;0,C60+0.58,0)</f>
        <v>33.26</v>
      </c>
      <c r="E60" s="237" t="s">
        <v>189</v>
      </c>
      <c r="F60" s="113"/>
      <c r="G60" s="113">
        <f t="shared" si="118"/>
        <v>1.35</v>
      </c>
      <c r="H60" s="28"/>
      <c r="I60" s="27">
        <f t="shared" ref="I60" si="130">IF(C60&gt;0,CEILING(C60+0.58,1)*H60,0)</f>
        <v>0</v>
      </c>
      <c r="J60" s="118"/>
      <c r="K60" s="113">
        <f t="shared" si="51"/>
        <v>0</v>
      </c>
      <c r="L60" s="28"/>
      <c r="M60" s="27">
        <f t="shared" si="69"/>
        <v>0</v>
      </c>
      <c r="N60" s="28">
        <v>2</v>
      </c>
      <c r="O60" s="72">
        <v>3</v>
      </c>
      <c r="P60" s="72">
        <f t="shared" ref="P60:P64" si="131">N60*O60</f>
        <v>6</v>
      </c>
      <c r="Q60" s="27">
        <f t="shared" ref="Q60" si="132">IF(C60&gt;0,CEILING(C60+0.58,1)*P60,0)</f>
        <v>204</v>
      </c>
      <c r="R60" s="157" t="s">
        <v>184</v>
      </c>
      <c r="S60" s="73">
        <f t="shared" si="122"/>
        <v>0.83564999999999978</v>
      </c>
      <c r="T60" s="25">
        <f t="shared" ref="T60" si="133">C60*S60</f>
        <v>27.309041999999991</v>
      </c>
      <c r="U60" s="235" t="s">
        <v>183</v>
      </c>
      <c r="V60" s="25">
        <f t="shared" si="12"/>
        <v>0</v>
      </c>
      <c r="W60" s="25">
        <f t="shared" ref="W60" si="134">C60*V60</f>
        <v>0</v>
      </c>
      <c r="X60" s="25">
        <f t="shared" si="32"/>
        <v>2.1</v>
      </c>
      <c r="Y60" s="29">
        <f t="shared" si="33"/>
        <v>6.8628</v>
      </c>
      <c r="Z60" s="160"/>
      <c r="AA60" s="279" t="s">
        <v>184</v>
      </c>
      <c r="AB60" s="76">
        <f t="shared" si="13"/>
        <v>68.628</v>
      </c>
      <c r="AC60" s="279" t="s">
        <v>183</v>
      </c>
      <c r="AD60" s="161">
        <f t="shared" si="14"/>
        <v>0</v>
      </c>
      <c r="AE60" s="163">
        <f t="shared" si="125"/>
        <v>68.628</v>
      </c>
      <c r="AF60" s="76">
        <f t="shared" si="16"/>
        <v>210.13239999999999</v>
      </c>
      <c r="AG60" s="161">
        <f t="shared" si="17"/>
        <v>0</v>
      </c>
      <c r="AH60" s="235" t="s">
        <v>184</v>
      </c>
      <c r="AI60" s="167">
        <f t="shared" si="18"/>
        <v>210.13239999999999</v>
      </c>
      <c r="AJ60" s="174">
        <f t="shared" ref="AJ60" si="135">AI60*2</f>
        <v>420.26479999999998</v>
      </c>
      <c r="AK60" s="167" t="str">
        <f t="shared" si="20"/>
        <v>nástupiště</v>
      </c>
      <c r="AL60" s="167">
        <f t="shared" si="0"/>
        <v>0.35</v>
      </c>
      <c r="AM60" s="167">
        <f t="shared" si="1"/>
        <v>5.9799999999999995</v>
      </c>
      <c r="AN60" s="167">
        <f t="shared" si="21"/>
        <v>195.42639999999997</v>
      </c>
      <c r="AO60" s="167">
        <f t="shared" si="90"/>
        <v>4.2699999999999996</v>
      </c>
      <c r="AP60" s="167">
        <f t="shared" si="127"/>
        <v>139.5436</v>
      </c>
      <c r="AQ60" s="242" t="s">
        <v>184</v>
      </c>
      <c r="AR60" s="285">
        <f t="shared" si="22"/>
        <v>169.119</v>
      </c>
      <c r="AS60" s="285">
        <f t="shared" si="23"/>
        <v>357.02899999999994</v>
      </c>
      <c r="AT60" s="285"/>
      <c r="AU60" s="285">
        <f t="shared" ref="AU60:AU94" si="136">IF(AT60="ano",(C60*(O60*0.65+0.3)*2*1.15),0)</f>
        <v>0</v>
      </c>
      <c r="AV60" s="184"/>
      <c r="AW60" s="186"/>
      <c r="AX60" t="str">
        <f t="shared" si="128"/>
        <v>Š22-Š23</v>
      </c>
    </row>
    <row r="61" spans="1:50" ht="15.75" x14ac:dyDescent="0.25">
      <c r="A61">
        <f t="shared" si="24"/>
        <v>30</v>
      </c>
      <c r="B61" s="84" t="s">
        <v>162</v>
      </c>
      <c r="C61" s="192">
        <v>25.64</v>
      </c>
      <c r="D61" s="25">
        <f t="shared" si="117"/>
        <v>26.22</v>
      </c>
      <c r="E61" s="237" t="s">
        <v>189</v>
      </c>
      <c r="F61" s="113"/>
      <c r="G61" s="113">
        <f t="shared" si="118"/>
        <v>0.9</v>
      </c>
      <c r="H61" s="28"/>
      <c r="I61" s="27">
        <f t="shared" si="119"/>
        <v>0</v>
      </c>
      <c r="J61" s="118"/>
      <c r="K61" s="113">
        <f t="shared" si="51"/>
        <v>0</v>
      </c>
      <c r="L61" s="28"/>
      <c r="M61" s="27">
        <f t="shared" si="69"/>
        <v>0</v>
      </c>
      <c r="N61" s="28">
        <v>2</v>
      </c>
      <c r="O61" s="72">
        <v>2</v>
      </c>
      <c r="P61" s="72">
        <f t="shared" si="131"/>
        <v>4</v>
      </c>
      <c r="Q61" s="27">
        <f t="shared" si="121"/>
        <v>108</v>
      </c>
      <c r="R61" s="157" t="s">
        <v>184</v>
      </c>
      <c r="S61" s="73">
        <f t="shared" si="122"/>
        <v>0.61460000000000004</v>
      </c>
      <c r="T61" s="25">
        <f t="shared" si="123"/>
        <v>15.758344000000001</v>
      </c>
      <c r="U61" s="235" t="s">
        <v>183</v>
      </c>
      <c r="V61" s="25">
        <f t="shared" si="12"/>
        <v>0</v>
      </c>
      <c r="W61" s="25">
        <f t="shared" si="124"/>
        <v>0</v>
      </c>
      <c r="X61" s="25">
        <f t="shared" si="32"/>
        <v>2.1</v>
      </c>
      <c r="Y61" s="29">
        <f t="shared" si="33"/>
        <v>5.3844000000000003</v>
      </c>
      <c r="Z61" s="160"/>
      <c r="AA61" s="279" t="s">
        <v>183</v>
      </c>
      <c r="AB61" s="76">
        <f t="shared" si="13"/>
        <v>0</v>
      </c>
      <c r="AC61" s="279" t="s">
        <v>183</v>
      </c>
      <c r="AD61" s="161">
        <f t="shared" si="14"/>
        <v>0</v>
      </c>
      <c r="AE61" s="163">
        <f t="shared" si="125"/>
        <v>53.844000000000001</v>
      </c>
      <c r="AF61" s="76">
        <f t="shared" si="16"/>
        <v>0</v>
      </c>
      <c r="AG61" s="161">
        <f t="shared" si="17"/>
        <v>0</v>
      </c>
      <c r="AH61" s="235" t="s">
        <v>183</v>
      </c>
      <c r="AI61" s="167">
        <f t="shared" si="18"/>
        <v>0</v>
      </c>
      <c r="AJ61" s="174">
        <f t="shared" si="126"/>
        <v>0</v>
      </c>
      <c r="AK61" s="167" t="str">
        <f t="shared" si="20"/>
        <v>nástupiště</v>
      </c>
      <c r="AL61" s="167">
        <f t="shared" si="0"/>
        <v>0.35</v>
      </c>
      <c r="AM61" s="167">
        <f t="shared" si="1"/>
        <v>4.4850000000000003</v>
      </c>
      <c r="AN61" s="167">
        <f t="shared" si="21"/>
        <v>114.99540000000002</v>
      </c>
      <c r="AO61" s="167">
        <f t="shared" si="90"/>
        <v>3.2750000000000004</v>
      </c>
      <c r="AP61" s="167">
        <f t="shared" si="127"/>
        <v>83.971000000000018</v>
      </c>
      <c r="AQ61" s="242"/>
      <c r="AR61" s="285">
        <f t="shared" si="22"/>
        <v>0</v>
      </c>
      <c r="AS61" s="285">
        <f t="shared" si="23"/>
        <v>0</v>
      </c>
      <c r="AT61" s="285"/>
      <c r="AU61" s="285">
        <f t="shared" si="136"/>
        <v>0</v>
      </c>
      <c r="AV61" s="184" t="s">
        <v>184</v>
      </c>
      <c r="AW61" s="186"/>
      <c r="AX61" t="str">
        <f t="shared" si="128"/>
        <v>Š23-Š24</v>
      </c>
    </row>
    <row r="62" spans="1:50" ht="15.75" x14ac:dyDescent="0.25">
      <c r="A62">
        <f t="shared" si="24"/>
        <v>31</v>
      </c>
      <c r="B62" s="84" t="s">
        <v>262</v>
      </c>
      <c r="C62" s="192">
        <v>15.725</v>
      </c>
      <c r="D62" s="25">
        <f t="shared" si="117"/>
        <v>16.305</v>
      </c>
      <c r="E62" s="238" t="s">
        <v>190</v>
      </c>
      <c r="F62" s="113"/>
      <c r="G62" s="113">
        <f t="shared" si="118"/>
        <v>0.9</v>
      </c>
      <c r="H62" s="28"/>
      <c r="I62" s="27">
        <f t="shared" si="119"/>
        <v>0</v>
      </c>
      <c r="J62" s="118"/>
      <c r="K62" s="113">
        <f t="shared" si="51"/>
        <v>0</v>
      </c>
      <c r="L62" s="28"/>
      <c r="M62" s="27">
        <f t="shared" si="69"/>
        <v>0</v>
      </c>
      <c r="N62" s="28">
        <v>2</v>
      </c>
      <c r="O62" s="72">
        <v>2</v>
      </c>
      <c r="P62" s="72">
        <f t="shared" si="131"/>
        <v>4</v>
      </c>
      <c r="Q62" s="27">
        <f t="shared" si="121"/>
        <v>68</v>
      </c>
      <c r="R62" s="157" t="s">
        <v>184</v>
      </c>
      <c r="S62" s="73">
        <f t="shared" si="122"/>
        <v>0.61460000000000004</v>
      </c>
      <c r="T62" s="25">
        <f t="shared" si="123"/>
        <v>9.6645850000000006</v>
      </c>
      <c r="U62" s="235" t="s">
        <v>184</v>
      </c>
      <c r="V62" s="25">
        <f t="shared" si="12"/>
        <v>0.93789999999999996</v>
      </c>
      <c r="W62" s="25">
        <f t="shared" si="124"/>
        <v>14.748477499999998</v>
      </c>
      <c r="X62" s="25">
        <f t="shared" si="32"/>
        <v>2.1</v>
      </c>
      <c r="Y62" s="29">
        <f t="shared" si="33"/>
        <v>3.3022500000000004</v>
      </c>
      <c r="Z62" s="160"/>
      <c r="AA62" s="279" t="s">
        <v>184</v>
      </c>
      <c r="AB62" s="76">
        <f t="shared" si="13"/>
        <v>33.022500000000001</v>
      </c>
      <c r="AC62" s="279" t="s">
        <v>184</v>
      </c>
      <c r="AD62" s="161">
        <f t="shared" si="14"/>
        <v>42.45750000000001</v>
      </c>
      <c r="AE62" s="163">
        <f t="shared" si="125"/>
        <v>33.022500000000001</v>
      </c>
      <c r="AF62" s="76">
        <f t="shared" si="16"/>
        <v>77.602874999999997</v>
      </c>
      <c r="AG62" s="161">
        <f t="shared" si="17"/>
        <v>87.745499999999993</v>
      </c>
      <c r="AH62" s="235" t="s">
        <v>184</v>
      </c>
      <c r="AI62" s="167">
        <f t="shared" si="18"/>
        <v>77.602874999999997</v>
      </c>
      <c r="AJ62" s="174">
        <f t="shared" si="126"/>
        <v>155.20574999999999</v>
      </c>
      <c r="AK62" s="167" t="str">
        <f t="shared" si="20"/>
        <v>Pod kolejemi</v>
      </c>
      <c r="AL62" s="167">
        <f t="shared" si="0"/>
        <v>1.7</v>
      </c>
      <c r="AM62" s="167">
        <f t="shared" si="1"/>
        <v>7.9349999999999996</v>
      </c>
      <c r="AN62" s="167">
        <f t="shared" si="21"/>
        <v>124.77787499999999</v>
      </c>
      <c r="AO62" s="167">
        <f t="shared" si="90"/>
        <v>6.7249999999999996</v>
      </c>
      <c r="AP62" s="167">
        <f t="shared" si="127"/>
        <v>105.75062499999999</v>
      </c>
      <c r="AQ62" s="242" t="s">
        <v>184</v>
      </c>
      <c r="AR62" s="285">
        <f t="shared" si="22"/>
        <v>57.867999999999995</v>
      </c>
      <c r="AS62" s="285">
        <f t="shared" si="23"/>
        <v>148.28674999999998</v>
      </c>
      <c r="AT62" s="285"/>
      <c r="AU62" s="285">
        <f t="shared" si="136"/>
        <v>0</v>
      </c>
      <c r="AV62" s="184"/>
      <c r="AW62" s="186"/>
      <c r="AX62" t="str">
        <f t="shared" si="128"/>
        <v>Š23-Š41</v>
      </c>
    </row>
    <row r="63" spans="1:50" ht="15.75" x14ac:dyDescent="0.25">
      <c r="A63">
        <f t="shared" si="24"/>
        <v>31</v>
      </c>
      <c r="B63" s="84"/>
      <c r="C63" s="192"/>
      <c r="D63" s="25"/>
      <c r="E63" s="238"/>
      <c r="F63" s="113"/>
      <c r="G63" s="113"/>
      <c r="H63" s="28"/>
      <c r="I63" s="27"/>
      <c r="J63" s="118"/>
      <c r="K63" s="113">
        <f t="shared" si="51"/>
        <v>0</v>
      </c>
      <c r="L63" s="28"/>
      <c r="M63" s="27">
        <f t="shared" si="69"/>
        <v>0</v>
      </c>
      <c r="N63" s="28"/>
      <c r="O63" s="72"/>
      <c r="P63" s="72"/>
      <c r="Q63" s="27"/>
      <c r="R63" s="157"/>
      <c r="S63" s="73">
        <f t="shared" si="79"/>
        <v>0</v>
      </c>
      <c r="T63" s="25"/>
      <c r="U63" s="235"/>
      <c r="V63" s="25">
        <f t="shared" si="12"/>
        <v>0</v>
      </c>
      <c r="W63" s="25"/>
      <c r="X63" s="25">
        <f t="shared" si="32"/>
        <v>0</v>
      </c>
      <c r="Y63" s="29"/>
      <c r="Z63" s="160"/>
      <c r="AA63" s="279"/>
      <c r="AB63" s="76">
        <f t="shared" si="13"/>
        <v>0</v>
      </c>
      <c r="AC63" s="279"/>
      <c r="AD63" s="161">
        <f t="shared" si="14"/>
        <v>0</v>
      </c>
      <c r="AE63" s="163"/>
      <c r="AF63" s="76">
        <f t="shared" si="16"/>
        <v>0</v>
      </c>
      <c r="AG63" s="161">
        <f t="shared" si="17"/>
        <v>0</v>
      </c>
      <c r="AH63" s="235"/>
      <c r="AI63" s="167">
        <f t="shared" si="18"/>
        <v>0</v>
      </c>
      <c r="AJ63" s="174"/>
      <c r="AK63" s="167"/>
      <c r="AL63" s="167">
        <f t="shared" si="0"/>
        <v>0</v>
      </c>
      <c r="AM63" s="167">
        <f t="shared" si="1"/>
        <v>0</v>
      </c>
      <c r="AN63" s="167">
        <f t="shared" si="21"/>
        <v>0</v>
      </c>
      <c r="AO63" s="167">
        <f t="shared" si="90"/>
        <v>0</v>
      </c>
      <c r="AP63" s="167"/>
      <c r="AQ63" s="242"/>
      <c r="AR63" s="285">
        <f t="shared" si="22"/>
        <v>0</v>
      </c>
      <c r="AS63" s="285">
        <f t="shared" si="23"/>
        <v>0</v>
      </c>
      <c r="AT63" s="285"/>
      <c r="AU63" s="285">
        <f t="shared" si="136"/>
        <v>0</v>
      </c>
      <c r="AV63" s="184"/>
      <c r="AW63" s="186"/>
    </row>
    <row r="64" spans="1:50" ht="15.75" x14ac:dyDescent="0.25">
      <c r="A64">
        <f t="shared" si="24"/>
        <v>32</v>
      </c>
      <c r="B64" s="84" t="s">
        <v>180</v>
      </c>
      <c r="C64" s="192">
        <v>4.7</v>
      </c>
      <c r="D64" s="25">
        <f t="shared" si="117"/>
        <v>5.28</v>
      </c>
      <c r="E64" s="237" t="s">
        <v>189</v>
      </c>
      <c r="F64" s="113"/>
      <c r="G64" s="113">
        <f t="shared" si="118"/>
        <v>0</v>
      </c>
      <c r="H64" s="28">
        <v>18</v>
      </c>
      <c r="I64" s="27">
        <f t="shared" si="119"/>
        <v>108</v>
      </c>
      <c r="J64" s="118"/>
      <c r="K64" s="113">
        <f t="shared" si="51"/>
        <v>0</v>
      </c>
      <c r="L64" s="28"/>
      <c r="M64" s="27">
        <f t="shared" si="69"/>
        <v>0</v>
      </c>
      <c r="N64" s="28"/>
      <c r="O64" s="72"/>
      <c r="P64" s="72">
        <f t="shared" si="131"/>
        <v>0</v>
      </c>
      <c r="Q64" s="27">
        <f t="shared" si="121"/>
        <v>0</v>
      </c>
      <c r="R64" s="157" t="s">
        <v>184</v>
      </c>
      <c r="S64" s="277">
        <v>0.5</v>
      </c>
      <c r="T64" s="25">
        <f t="shared" si="123"/>
        <v>2.35</v>
      </c>
      <c r="U64" s="235" t="s">
        <v>183</v>
      </c>
      <c r="V64" s="25">
        <f t="shared" si="12"/>
        <v>0</v>
      </c>
      <c r="W64" s="25">
        <f t="shared" si="124"/>
        <v>0</v>
      </c>
      <c r="X64" s="282">
        <f>IF(C64&gt;0,H64*0.1+J64*0.15+L64*0.2+0.3+0.6,0)</f>
        <v>2.7</v>
      </c>
      <c r="Y64" s="29">
        <f t="shared" si="33"/>
        <v>1.2690000000000001</v>
      </c>
      <c r="Z64" s="160"/>
      <c r="AA64" s="279" t="s">
        <v>183</v>
      </c>
      <c r="AB64" s="76">
        <f t="shared" si="13"/>
        <v>0</v>
      </c>
      <c r="AC64" s="279" t="s">
        <v>183</v>
      </c>
      <c r="AD64" s="161">
        <f t="shared" si="14"/>
        <v>0</v>
      </c>
      <c r="AE64" s="163">
        <f t="shared" si="125"/>
        <v>12.690000000000001</v>
      </c>
      <c r="AF64" s="76">
        <f t="shared" si="16"/>
        <v>0</v>
      </c>
      <c r="AG64" s="161">
        <f t="shared" si="17"/>
        <v>0</v>
      </c>
      <c r="AH64" s="235" t="s">
        <v>183</v>
      </c>
      <c r="AI64" s="167">
        <f t="shared" si="18"/>
        <v>0</v>
      </c>
      <c r="AJ64" s="174">
        <f t="shared" si="126"/>
        <v>0</v>
      </c>
      <c r="AK64" s="167" t="str">
        <f t="shared" si="20"/>
        <v>nástupiště</v>
      </c>
      <c r="AL64" s="167">
        <f t="shared" si="0"/>
        <v>0.35</v>
      </c>
      <c r="AM64" s="167">
        <f t="shared" si="1"/>
        <v>0.88324999999999987</v>
      </c>
      <c r="AN64" s="167">
        <f t="shared" si="21"/>
        <v>4.1512749999999992</v>
      </c>
      <c r="AO64" s="167">
        <f t="shared" si="90"/>
        <v>-1.1867500000000004</v>
      </c>
      <c r="AP64" s="167">
        <f t="shared" si="127"/>
        <v>-5.5777250000000018</v>
      </c>
      <c r="AQ64" s="242"/>
      <c r="AR64" s="285">
        <f t="shared" si="22"/>
        <v>0</v>
      </c>
      <c r="AS64" s="285">
        <f t="shared" si="23"/>
        <v>0</v>
      </c>
      <c r="AT64" s="285"/>
      <c r="AU64" s="285">
        <f t="shared" si="136"/>
        <v>0</v>
      </c>
      <c r="AV64" s="184" t="s">
        <v>184</v>
      </c>
      <c r="AW64" s="186"/>
      <c r="AX64" t="str">
        <f t="shared" si="128"/>
        <v>Š24-eskalator</v>
      </c>
    </row>
    <row r="65" spans="1:50" ht="15.75" x14ac:dyDescent="0.25">
      <c r="A65">
        <f t="shared" si="24"/>
        <v>33</v>
      </c>
      <c r="B65" s="84" t="s">
        <v>163</v>
      </c>
      <c r="C65" s="192">
        <v>32.700000000000003</v>
      </c>
      <c r="D65" s="25">
        <f t="shared" ref="D65" si="137">IF(C65&gt;0,C65+0.58,0)</f>
        <v>33.28</v>
      </c>
      <c r="E65" s="237" t="s">
        <v>189</v>
      </c>
      <c r="F65" s="113"/>
      <c r="G65" s="113">
        <f t="shared" si="118"/>
        <v>0.9</v>
      </c>
      <c r="H65" s="28"/>
      <c r="I65" s="27">
        <f t="shared" ref="I65" si="138">IF(C65&gt;0,CEILING(C65+0.58,1)*H65,0)</f>
        <v>0</v>
      </c>
      <c r="J65" s="118"/>
      <c r="K65" s="113">
        <f t="shared" si="51"/>
        <v>0</v>
      </c>
      <c r="L65" s="28"/>
      <c r="M65" s="27">
        <f t="shared" si="69"/>
        <v>0</v>
      </c>
      <c r="N65" s="28">
        <v>2</v>
      </c>
      <c r="O65" s="72">
        <v>2</v>
      </c>
      <c r="P65" s="72">
        <f t="shared" ref="P65:P70" si="139">N65*O65</f>
        <v>4</v>
      </c>
      <c r="Q65" s="27">
        <f t="shared" ref="Q65" si="140">IF(C65&gt;0,CEILING(C65+0.58,1)*P65,0)</f>
        <v>136</v>
      </c>
      <c r="R65" s="157" t="s">
        <v>184</v>
      </c>
      <c r="S65" s="73">
        <f t="shared" ref="S65:S72" si="141">IF(R65="ano",(N65*0.45+0.25)*(O65*0.45+0.15)-(N65*0.385)*(O65*0.385),0)</f>
        <v>0.61460000000000004</v>
      </c>
      <c r="T65" s="25">
        <f t="shared" ref="T65" si="142">C65*S65</f>
        <v>20.097420000000003</v>
      </c>
      <c r="U65" s="235" t="s">
        <v>183</v>
      </c>
      <c r="V65" s="25">
        <f t="shared" si="12"/>
        <v>0</v>
      </c>
      <c r="W65" s="25">
        <f t="shared" si="124"/>
        <v>0</v>
      </c>
      <c r="X65" s="25">
        <f t="shared" si="32"/>
        <v>2.1</v>
      </c>
      <c r="Y65" s="29">
        <f t="shared" si="33"/>
        <v>6.8670000000000018</v>
      </c>
      <c r="Z65" s="160"/>
      <c r="AA65" s="279" t="s">
        <v>183</v>
      </c>
      <c r="AB65" s="76">
        <f t="shared" si="13"/>
        <v>0</v>
      </c>
      <c r="AC65" s="279" t="s">
        <v>183</v>
      </c>
      <c r="AD65" s="161">
        <f t="shared" si="14"/>
        <v>0</v>
      </c>
      <c r="AE65" s="163">
        <f t="shared" si="125"/>
        <v>68.670000000000016</v>
      </c>
      <c r="AF65" s="76">
        <f t="shared" si="16"/>
        <v>0</v>
      </c>
      <c r="AG65" s="161">
        <f t="shared" si="17"/>
        <v>0</v>
      </c>
      <c r="AH65" s="235" t="s">
        <v>183</v>
      </c>
      <c r="AI65" s="167">
        <f t="shared" si="18"/>
        <v>0</v>
      </c>
      <c r="AJ65" s="174">
        <f t="shared" ref="AJ65" si="143">AI65*2</f>
        <v>0</v>
      </c>
      <c r="AK65" s="167" t="str">
        <f t="shared" si="20"/>
        <v>nástupiště</v>
      </c>
      <c r="AL65" s="167">
        <f t="shared" si="0"/>
        <v>0.35</v>
      </c>
      <c r="AM65" s="167">
        <f t="shared" si="1"/>
        <v>4.4850000000000003</v>
      </c>
      <c r="AN65" s="167">
        <f t="shared" si="21"/>
        <v>146.65950000000004</v>
      </c>
      <c r="AO65" s="167">
        <f t="shared" si="90"/>
        <v>3.2750000000000004</v>
      </c>
      <c r="AP65" s="167">
        <f t="shared" si="127"/>
        <v>107.09250000000002</v>
      </c>
      <c r="AQ65" s="242"/>
      <c r="AR65" s="285">
        <f t="shared" si="22"/>
        <v>0</v>
      </c>
      <c r="AS65" s="285">
        <f t="shared" si="23"/>
        <v>0</v>
      </c>
      <c r="AT65" s="285"/>
      <c r="AU65" s="285">
        <f t="shared" si="136"/>
        <v>0</v>
      </c>
      <c r="AV65" s="184" t="s">
        <v>184</v>
      </c>
      <c r="AW65" s="186"/>
      <c r="AX65" t="str">
        <f t="shared" si="128"/>
        <v>Š24-Š25</v>
      </c>
    </row>
    <row r="66" spans="1:50" ht="15.75" x14ac:dyDescent="0.25">
      <c r="A66">
        <f>IF(B66&gt;0,A65+1,#REF!+1)</f>
        <v>34</v>
      </c>
      <c r="B66" s="84" t="s">
        <v>263</v>
      </c>
      <c r="C66" s="192">
        <v>30.8</v>
      </c>
      <c r="D66" s="25">
        <f t="shared" si="117"/>
        <v>31.38</v>
      </c>
      <c r="E66" s="237" t="s">
        <v>189</v>
      </c>
      <c r="F66" s="113"/>
      <c r="G66" s="113">
        <f t="shared" si="118"/>
        <v>0.9</v>
      </c>
      <c r="H66" s="28"/>
      <c r="I66" s="27">
        <f t="shared" si="119"/>
        <v>0</v>
      </c>
      <c r="J66" s="118"/>
      <c r="K66" s="113">
        <f t="shared" si="51"/>
        <v>0</v>
      </c>
      <c r="L66" s="28"/>
      <c r="M66" s="27">
        <f t="shared" si="69"/>
        <v>0</v>
      </c>
      <c r="N66" s="28">
        <v>2</v>
      </c>
      <c r="O66" s="72">
        <v>2</v>
      </c>
      <c r="P66" s="72">
        <f t="shared" si="139"/>
        <v>4</v>
      </c>
      <c r="Q66" s="27">
        <f t="shared" si="121"/>
        <v>128</v>
      </c>
      <c r="R66" s="157" t="s">
        <v>184</v>
      </c>
      <c r="S66" s="73">
        <f t="shared" si="141"/>
        <v>0.61460000000000004</v>
      </c>
      <c r="T66" s="25">
        <f t="shared" si="123"/>
        <v>18.929680000000001</v>
      </c>
      <c r="U66" s="235" t="s">
        <v>183</v>
      </c>
      <c r="V66" s="25">
        <f t="shared" si="12"/>
        <v>0</v>
      </c>
      <c r="W66" s="25">
        <f t="shared" si="124"/>
        <v>0</v>
      </c>
      <c r="X66" s="25">
        <f t="shared" si="32"/>
        <v>2.1</v>
      </c>
      <c r="Y66" s="29">
        <f t="shared" si="33"/>
        <v>6.4680000000000009</v>
      </c>
      <c r="Z66" s="160"/>
      <c r="AA66" s="279" t="s">
        <v>183</v>
      </c>
      <c r="AB66" s="76">
        <f t="shared" si="13"/>
        <v>0</v>
      </c>
      <c r="AC66" s="279" t="s">
        <v>183</v>
      </c>
      <c r="AD66" s="161">
        <f t="shared" si="14"/>
        <v>0</v>
      </c>
      <c r="AE66" s="163">
        <f t="shared" si="125"/>
        <v>64.680000000000007</v>
      </c>
      <c r="AF66" s="76">
        <f t="shared" si="16"/>
        <v>0</v>
      </c>
      <c r="AG66" s="161">
        <f t="shared" si="17"/>
        <v>0</v>
      </c>
      <c r="AH66" s="235" t="s">
        <v>183</v>
      </c>
      <c r="AI66" s="167">
        <f t="shared" si="18"/>
        <v>0</v>
      </c>
      <c r="AJ66" s="174">
        <f t="shared" si="126"/>
        <v>0</v>
      </c>
      <c r="AK66" s="167" t="str">
        <f t="shared" si="20"/>
        <v>nástupiště</v>
      </c>
      <c r="AL66" s="167">
        <f t="shared" si="0"/>
        <v>0.35</v>
      </c>
      <c r="AM66" s="167">
        <f t="shared" si="1"/>
        <v>4.4850000000000003</v>
      </c>
      <c r="AN66" s="167">
        <f t="shared" si="21"/>
        <v>138.13800000000001</v>
      </c>
      <c r="AO66" s="167">
        <f t="shared" si="90"/>
        <v>3.2750000000000004</v>
      </c>
      <c r="AP66" s="167">
        <f t="shared" si="127"/>
        <v>100.87000000000002</v>
      </c>
      <c r="AQ66" s="242"/>
      <c r="AR66" s="285">
        <f t="shared" si="22"/>
        <v>0</v>
      </c>
      <c r="AS66" s="285">
        <f t="shared" si="23"/>
        <v>0</v>
      </c>
      <c r="AT66" s="285" t="s">
        <v>184</v>
      </c>
      <c r="AU66" s="285">
        <f t="shared" si="136"/>
        <v>113.34399999999999</v>
      </c>
      <c r="AV66" s="184"/>
      <c r="AW66" s="186"/>
      <c r="AX66" t="str">
        <f t="shared" si="128"/>
        <v>Š25-Š26</v>
      </c>
    </row>
    <row r="67" spans="1:50" ht="15.75" x14ac:dyDescent="0.25">
      <c r="A67">
        <f t="shared" si="24"/>
        <v>35</v>
      </c>
      <c r="B67" s="84" t="s">
        <v>237</v>
      </c>
      <c r="C67" s="192">
        <v>31</v>
      </c>
      <c r="D67" s="25">
        <f t="shared" ref="D67:D70" si="144">IF(C67&gt;0,C67+0.58,0)</f>
        <v>31.58</v>
      </c>
      <c r="E67" s="237" t="s">
        <v>189</v>
      </c>
      <c r="F67" s="113"/>
      <c r="G67" s="113">
        <f t="shared" ref="G67:G70" si="145">IF(O67&gt;0,O67*0.45+2*Z67,O67*0.45)</f>
        <v>0.9</v>
      </c>
      <c r="H67" s="28"/>
      <c r="I67" s="27">
        <f t="shared" ref="I67:I70" si="146">IF(C67&gt;0,CEILING(C67+0.58,1)*H67,0)</f>
        <v>0</v>
      </c>
      <c r="J67" s="118"/>
      <c r="K67" s="113">
        <f t="shared" si="51"/>
        <v>0</v>
      </c>
      <c r="L67" s="28"/>
      <c r="M67" s="27">
        <f t="shared" si="69"/>
        <v>0</v>
      </c>
      <c r="N67" s="28">
        <v>2</v>
      </c>
      <c r="O67" s="72">
        <v>2</v>
      </c>
      <c r="P67" s="72">
        <f t="shared" si="139"/>
        <v>4</v>
      </c>
      <c r="Q67" s="27">
        <f t="shared" ref="Q67:Q70" si="147">IF(C67&gt;0,CEILING(C67+0.58,1)*P67,0)</f>
        <v>128</v>
      </c>
      <c r="R67" s="157" t="s">
        <v>184</v>
      </c>
      <c r="S67" s="73">
        <f t="shared" si="141"/>
        <v>0.61460000000000004</v>
      </c>
      <c r="T67" s="25">
        <f t="shared" ref="T67:T70" si="148">C67*S67</f>
        <v>19.052600000000002</v>
      </c>
      <c r="U67" s="235" t="s">
        <v>183</v>
      </c>
      <c r="V67" s="25">
        <f t="shared" si="12"/>
        <v>0</v>
      </c>
      <c r="W67" s="25">
        <f t="shared" ref="W67:W70" si="149">C67*V67</f>
        <v>0</v>
      </c>
      <c r="X67" s="25">
        <f t="shared" si="32"/>
        <v>2.1</v>
      </c>
      <c r="Y67" s="29">
        <f t="shared" ref="Y67:Y70" si="150">C67*X67*0.1</f>
        <v>6.5100000000000016</v>
      </c>
      <c r="Z67" s="160"/>
      <c r="AA67" s="279" t="s">
        <v>183</v>
      </c>
      <c r="AB67" s="76">
        <f t="shared" si="13"/>
        <v>0</v>
      </c>
      <c r="AC67" s="279" t="s">
        <v>183</v>
      </c>
      <c r="AD67" s="161">
        <f t="shared" si="14"/>
        <v>0</v>
      </c>
      <c r="AE67" s="163">
        <f t="shared" ref="AE67:AE70" si="151">X67*C67</f>
        <v>65.100000000000009</v>
      </c>
      <c r="AF67" s="76">
        <f t="shared" si="16"/>
        <v>0</v>
      </c>
      <c r="AG67" s="161">
        <f t="shared" si="17"/>
        <v>0</v>
      </c>
      <c r="AH67" s="235" t="s">
        <v>183</v>
      </c>
      <c r="AI67" s="167">
        <f t="shared" si="18"/>
        <v>0</v>
      </c>
      <c r="AJ67" s="174">
        <f t="shared" ref="AJ67:AJ70" si="152">AI67*2</f>
        <v>0</v>
      </c>
      <c r="AK67" s="167" t="str">
        <f t="shared" ref="AK67:AK70" si="153">E67</f>
        <v>nástupiště</v>
      </c>
      <c r="AL67" s="167">
        <f t="shared" si="0"/>
        <v>0.35</v>
      </c>
      <c r="AM67" s="167">
        <f t="shared" si="1"/>
        <v>4.4850000000000003</v>
      </c>
      <c r="AN67" s="167">
        <f t="shared" si="21"/>
        <v>139.035</v>
      </c>
      <c r="AO67" s="167">
        <f t="shared" si="90"/>
        <v>3.2750000000000004</v>
      </c>
      <c r="AP67" s="167">
        <f t="shared" ref="AP67:AP70" si="154">C67*AO67</f>
        <v>101.52500000000001</v>
      </c>
      <c r="AQ67" s="242"/>
      <c r="AR67" s="285">
        <f t="shared" si="22"/>
        <v>0</v>
      </c>
      <c r="AS67" s="285">
        <f t="shared" si="23"/>
        <v>0</v>
      </c>
      <c r="AT67" s="285" t="s">
        <v>184</v>
      </c>
      <c r="AU67" s="285">
        <f t="shared" si="136"/>
        <v>114.08</v>
      </c>
      <c r="AV67" s="184"/>
      <c r="AW67" s="186"/>
      <c r="AX67" t="str">
        <f t="shared" ref="AX67:AX70" si="155">B67</f>
        <v>Š26-Š27</v>
      </c>
    </row>
    <row r="68" spans="1:50" ht="15.75" x14ac:dyDescent="0.25">
      <c r="A68">
        <f t="shared" si="24"/>
        <v>36</v>
      </c>
      <c r="B68" s="84" t="s">
        <v>164</v>
      </c>
      <c r="C68" s="192">
        <v>30.5</v>
      </c>
      <c r="D68" s="25">
        <f t="shared" si="144"/>
        <v>31.08</v>
      </c>
      <c r="E68" s="237" t="s">
        <v>189</v>
      </c>
      <c r="F68" s="113"/>
      <c r="G68" s="113">
        <f t="shared" si="145"/>
        <v>0.9</v>
      </c>
      <c r="H68" s="28"/>
      <c r="I68" s="27">
        <f t="shared" si="146"/>
        <v>0</v>
      </c>
      <c r="J68" s="118"/>
      <c r="K68" s="113">
        <f t="shared" si="51"/>
        <v>0</v>
      </c>
      <c r="L68" s="28"/>
      <c r="M68" s="27">
        <f t="shared" si="69"/>
        <v>0</v>
      </c>
      <c r="N68" s="28">
        <v>2</v>
      </c>
      <c r="O68" s="72">
        <v>2</v>
      </c>
      <c r="P68" s="72">
        <f t="shared" si="139"/>
        <v>4</v>
      </c>
      <c r="Q68" s="27">
        <f t="shared" si="147"/>
        <v>128</v>
      </c>
      <c r="R68" s="157" t="s">
        <v>184</v>
      </c>
      <c r="S68" s="73">
        <f t="shared" si="141"/>
        <v>0.61460000000000004</v>
      </c>
      <c r="T68" s="25">
        <f t="shared" si="148"/>
        <v>18.7453</v>
      </c>
      <c r="U68" s="235" t="s">
        <v>183</v>
      </c>
      <c r="V68" s="25">
        <f t="shared" si="12"/>
        <v>0</v>
      </c>
      <c r="W68" s="25">
        <f t="shared" si="149"/>
        <v>0</v>
      </c>
      <c r="X68" s="25">
        <f t="shared" si="32"/>
        <v>2.1</v>
      </c>
      <c r="Y68" s="29">
        <f t="shared" si="150"/>
        <v>6.4050000000000002</v>
      </c>
      <c r="Z68" s="160"/>
      <c r="AA68" s="279" t="s">
        <v>183</v>
      </c>
      <c r="AB68" s="76">
        <f t="shared" si="13"/>
        <v>0</v>
      </c>
      <c r="AC68" s="279" t="s">
        <v>183</v>
      </c>
      <c r="AD68" s="161">
        <f t="shared" si="14"/>
        <v>0</v>
      </c>
      <c r="AE68" s="163">
        <f t="shared" si="151"/>
        <v>64.05</v>
      </c>
      <c r="AF68" s="76">
        <f t="shared" si="16"/>
        <v>0</v>
      </c>
      <c r="AG68" s="161">
        <f t="shared" si="17"/>
        <v>0</v>
      </c>
      <c r="AH68" s="235" t="s">
        <v>183</v>
      </c>
      <c r="AI68" s="167">
        <f t="shared" si="18"/>
        <v>0</v>
      </c>
      <c r="AJ68" s="174">
        <f t="shared" si="152"/>
        <v>0</v>
      </c>
      <c r="AK68" s="167" t="str">
        <f t="shared" si="153"/>
        <v>nástupiště</v>
      </c>
      <c r="AL68" s="167">
        <f t="shared" si="0"/>
        <v>0.35</v>
      </c>
      <c r="AM68" s="167">
        <f t="shared" si="1"/>
        <v>4.4850000000000003</v>
      </c>
      <c r="AN68" s="167">
        <f t="shared" si="21"/>
        <v>136.79250000000002</v>
      </c>
      <c r="AO68" s="167">
        <f t="shared" si="90"/>
        <v>3.2750000000000004</v>
      </c>
      <c r="AP68" s="167">
        <f t="shared" si="154"/>
        <v>99.887500000000017</v>
      </c>
      <c r="AQ68" s="242"/>
      <c r="AR68" s="285">
        <f t="shared" si="22"/>
        <v>0</v>
      </c>
      <c r="AS68" s="285">
        <f t="shared" si="23"/>
        <v>0</v>
      </c>
      <c r="AT68" s="285" t="s">
        <v>184</v>
      </c>
      <c r="AU68" s="285">
        <f t="shared" si="136"/>
        <v>112.24</v>
      </c>
      <c r="AV68" s="184"/>
      <c r="AW68" s="186"/>
      <c r="AX68" t="str">
        <f t="shared" si="155"/>
        <v>Š27-Š28</v>
      </c>
    </row>
    <row r="69" spans="1:50" ht="15.75" x14ac:dyDescent="0.25">
      <c r="A69">
        <f t="shared" si="24"/>
        <v>37</v>
      </c>
      <c r="B69" s="84" t="s">
        <v>165</v>
      </c>
      <c r="C69" s="192">
        <v>28.8</v>
      </c>
      <c r="D69" s="25">
        <f t="shared" si="144"/>
        <v>29.38</v>
      </c>
      <c r="E69" s="237" t="s">
        <v>189</v>
      </c>
      <c r="F69" s="113"/>
      <c r="G69" s="113">
        <f t="shared" si="145"/>
        <v>0.9</v>
      </c>
      <c r="H69" s="28"/>
      <c r="I69" s="27">
        <f t="shared" si="146"/>
        <v>0</v>
      </c>
      <c r="J69" s="118"/>
      <c r="K69" s="113">
        <f t="shared" si="51"/>
        <v>0</v>
      </c>
      <c r="L69" s="28"/>
      <c r="M69" s="27">
        <f t="shared" si="69"/>
        <v>0</v>
      </c>
      <c r="N69" s="28">
        <v>2</v>
      </c>
      <c r="O69" s="72">
        <v>2</v>
      </c>
      <c r="P69" s="72">
        <f t="shared" si="139"/>
        <v>4</v>
      </c>
      <c r="Q69" s="27">
        <f t="shared" si="147"/>
        <v>120</v>
      </c>
      <c r="R69" s="157" t="s">
        <v>184</v>
      </c>
      <c r="S69" s="73">
        <f t="shared" si="141"/>
        <v>0.61460000000000004</v>
      </c>
      <c r="T69" s="25">
        <f t="shared" si="148"/>
        <v>17.700480000000002</v>
      </c>
      <c r="U69" s="235" t="s">
        <v>183</v>
      </c>
      <c r="V69" s="25">
        <f t="shared" si="12"/>
        <v>0</v>
      </c>
      <c r="W69" s="25">
        <f t="shared" si="149"/>
        <v>0</v>
      </c>
      <c r="X69" s="25">
        <f t="shared" si="32"/>
        <v>2.1</v>
      </c>
      <c r="Y69" s="29">
        <f t="shared" si="150"/>
        <v>6.0480000000000009</v>
      </c>
      <c r="Z69" s="160"/>
      <c r="AA69" s="279" t="s">
        <v>183</v>
      </c>
      <c r="AB69" s="76">
        <f t="shared" si="13"/>
        <v>0</v>
      </c>
      <c r="AC69" s="279" t="s">
        <v>183</v>
      </c>
      <c r="AD69" s="161">
        <f t="shared" si="14"/>
        <v>0</v>
      </c>
      <c r="AE69" s="163">
        <f t="shared" si="151"/>
        <v>60.480000000000004</v>
      </c>
      <c r="AF69" s="76">
        <f t="shared" si="16"/>
        <v>0</v>
      </c>
      <c r="AG69" s="161">
        <f t="shared" si="17"/>
        <v>0</v>
      </c>
      <c r="AH69" s="235" t="s">
        <v>183</v>
      </c>
      <c r="AI69" s="167">
        <f t="shared" si="18"/>
        <v>0</v>
      </c>
      <c r="AJ69" s="174">
        <f t="shared" si="152"/>
        <v>0</v>
      </c>
      <c r="AK69" s="167" t="str">
        <f t="shared" si="153"/>
        <v>nástupiště</v>
      </c>
      <c r="AL69" s="167">
        <f t="shared" si="0"/>
        <v>0.35</v>
      </c>
      <c r="AM69" s="167">
        <f t="shared" si="1"/>
        <v>4.4850000000000003</v>
      </c>
      <c r="AN69" s="167">
        <f t="shared" si="21"/>
        <v>129.16800000000001</v>
      </c>
      <c r="AO69" s="167">
        <f t="shared" si="90"/>
        <v>3.2750000000000004</v>
      </c>
      <c r="AP69" s="167">
        <f t="shared" si="154"/>
        <v>94.320000000000007</v>
      </c>
      <c r="AQ69" s="242"/>
      <c r="AR69" s="285">
        <f t="shared" si="22"/>
        <v>0</v>
      </c>
      <c r="AS69" s="285">
        <f t="shared" si="23"/>
        <v>0</v>
      </c>
      <c r="AT69" s="285" t="s">
        <v>184</v>
      </c>
      <c r="AU69" s="285">
        <f t="shared" si="136"/>
        <v>105.98400000000001</v>
      </c>
      <c r="AV69" s="184"/>
      <c r="AW69" s="186"/>
      <c r="AX69" t="str">
        <f t="shared" si="155"/>
        <v>Š28-Š29</v>
      </c>
    </row>
    <row r="70" spans="1:50" ht="15.75" x14ac:dyDescent="0.25">
      <c r="A70">
        <f t="shared" si="24"/>
        <v>38</v>
      </c>
      <c r="B70" s="84" t="s">
        <v>166</v>
      </c>
      <c r="C70" s="192">
        <v>14.62</v>
      </c>
      <c r="D70" s="25">
        <f t="shared" si="144"/>
        <v>15.2</v>
      </c>
      <c r="E70" s="237" t="s">
        <v>189</v>
      </c>
      <c r="F70" s="113"/>
      <c r="G70" s="113">
        <f t="shared" si="145"/>
        <v>0.9</v>
      </c>
      <c r="H70" s="28"/>
      <c r="I70" s="27">
        <f t="shared" si="146"/>
        <v>0</v>
      </c>
      <c r="J70" s="118"/>
      <c r="K70" s="113">
        <f t="shared" si="51"/>
        <v>0</v>
      </c>
      <c r="L70" s="28"/>
      <c r="M70" s="27">
        <f t="shared" si="69"/>
        <v>0</v>
      </c>
      <c r="N70" s="28">
        <v>2</v>
      </c>
      <c r="O70" s="72">
        <v>2</v>
      </c>
      <c r="P70" s="72">
        <f t="shared" si="139"/>
        <v>4</v>
      </c>
      <c r="Q70" s="27">
        <f t="shared" si="147"/>
        <v>64</v>
      </c>
      <c r="R70" s="157" t="s">
        <v>184</v>
      </c>
      <c r="S70" s="73">
        <f t="shared" si="141"/>
        <v>0.61460000000000004</v>
      </c>
      <c r="T70" s="25">
        <f t="shared" si="148"/>
        <v>8.9854520000000004</v>
      </c>
      <c r="U70" s="235" t="s">
        <v>183</v>
      </c>
      <c r="V70" s="25">
        <f t="shared" si="12"/>
        <v>0</v>
      </c>
      <c r="W70" s="25">
        <f t="shared" si="149"/>
        <v>0</v>
      </c>
      <c r="X70" s="25">
        <f t="shared" si="32"/>
        <v>2.1</v>
      </c>
      <c r="Y70" s="29">
        <f t="shared" si="150"/>
        <v>3.0701999999999998</v>
      </c>
      <c r="Z70" s="160"/>
      <c r="AA70" s="279" t="s">
        <v>183</v>
      </c>
      <c r="AB70" s="76">
        <f t="shared" si="13"/>
        <v>0</v>
      </c>
      <c r="AC70" s="279" t="s">
        <v>183</v>
      </c>
      <c r="AD70" s="161">
        <f t="shared" si="14"/>
        <v>0</v>
      </c>
      <c r="AE70" s="163">
        <f t="shared" si="151"/>
        <v>30.701999999999998</v>
      </c>
      <c r="AF70" s="76">
        <f t="shared" si="16"/>
        <v>0</v>
      </c>
      <c r="AG70" s="161">
        <f t="shared" si="17"/>
        <v>0</v>
      </c>
      <c r="AH70" s="235" t="s">
        <v>183</v>
      </c>
      <c r="AI70" s="167">
        <f t="shared" si="18"/>
        <v>0</v>
      </c>
      <c r="AJ70" s="174">
        <f t="shared" si="152"/>
        <v>0</v>
      </c>
      <c r="AK70" s="167" t="str">
        <f t="shared" si="153"/>
        <v>nástupiště</v>
      </c>
      <c r="AL70" s="167">
        <f t="shared" si="0"/>
        <v>0.35</v>
      </c>
      <c r="AM70" s="167">
        <f t="shared" si="1"/>
        <v>4.4850000000000003</v>
      </c>
      <c r="AN70" s="167">
        <f t="shared" si="21"/>
        <v>65.570700000000002</v>
      </c>
      <c r="AO70" s="167">
        <f t="shared" si="90"/>
        <v>3.2750000000000004</v>
      </c>
      <c r="AP70" s="167">
        <f t="shared" si="154"/>
        <v>47.880500000000005</v>
      </c>
      <c r="AQ70" s="242"/>
      <c r="AR70" s="285">
        <f t="shared" si="22"/>
        <v>0</v>
      </c>
      <c r="AS70" s="285">
        <f t="shared" si="23"/>
        <v>0</v>
      </c>
      <c r="AT70" s="285" t="s">
        <v>184</v>
      </c>
      <c r="AU70" s="285">
        <f t="shared" si="136"/>
        <v>53.801599999999993</v>
      </c>
      <c r="AV70" s="184"/>
      <c r="AW70" s="186"/>
      <c r="AX70" t="str">
        <f t="shared" si="155"/>
        <v>Š29-Š30</v>
      </c>
    </row>
    <row r="71" spans="1:50" ht="15.75" x14ac:dyDescent="0.25">
      <c r="A71">
        <f t="shared" si="24"/>
        <v>38</v>
      </c>
      <c r="B71" s="84"/>
      <c r="C71" s="192"/>
      <c r="D71" s="25"/>
      <c r="E71" s="237" t="s">
        <v>189</v>
      </c>
      <c r="F71" s="113"/>
      <c r="G71" s="113"/>
      <c r="H71" s="28"/>
      <c r="I71" s="27"/>
      <c r="J71" s="118"/>
      <c r="K71" s="113">
        <f t="shared" si="51"/>
        <v>0</v>
      </c>
      <c r="L71" s="28"/>
      <c r="M71" s="27">
        <f t="shared" si="69"/>
        <v>0</v>
      </c>
      <c r="N71" s="28"/>
      <c r="O71" s="72"/>
      <c r="P71" s="72"/>
      <c r="Q71" s="27"/>
      <c r="R71" s="157"/>
      <c r="S71" s="73">
        <f t="shared" si="141"/>
        <v>0</v>
      </c>
      <c r="T71" s="25"/>
      <c r="U71" s="235">
        <f t="shared" si="91"/>
        <v>0</v>
      </c>
      <c r="V71" s="25">
        <f t="shared" si="12"/>
        <v>0</v>
      </c>
      <c r="W71" s="25"/>
      <c r="X71" s="25">
        <f t="shared" si="32"/>
        <v>0</v>
      </c>
      <c r="Y71" s="29">
        <f t="shared" si="33"/>
        <v>0</v>
      </c>
      <c r="Z71" s="160"/>
      <c r="AA71" s="279"/>
      <c r="AB71" s="76">
        <f t="shared" si="13"/>
        <v>0</v>
      </c>
      <c r="AC71" s="279"/>
      <c r="AD71" s="161">
        <f t="shared" si="14"/>
        <v>0</v>
      </c>
      <c r="AE71" s="163"/>
      <c r="AF71" s="76">
        <f t="shared" si="16"/>
        <v>0</v>
      </c>
      <c r="AG71" s="161">
        <f t="shared" si="17"/>
        <v>0</v>
      </c>
      <c r="AH71" s="235">
        <f t="shared" si="92"/>
        <v>0</v>
      </c>
      <c r="AI71" s="167">
        <f t="shared" si="18"/>
        <v>0</v>
      </c>
      <c r="AJ71" s="174"/>
      <c r="AK71" s="167" t="str">
        <f t="shared" si="20"/>
        <v>nástupiště</v>
      </c>
      <c r="AL71" s="167">
        <f t="shared" si="0"/>
        <v>0.35</v>
      </c>
      <c r="AM71" s="167">
        <f t="shared" si="1"/>
        <v>0.52324999999999988</v>
      </c>
      <c r="AN71" s="167">
        <f t="shared" si="21"/>
        <v>0</v>
      </c>
      <c r="AO71" s="167">
        <f t="shared" si="90"/>
        <v>0.52324999999999988</v>
      </c>
      <c r="AP71" s="167"/>
      <c r="AQ71" s="242"/>
      <c r="AR71" s="285">
        <f t="shared" si="22"/>
        <v>0</v>
      </c>
      <c r="AS71" s="285">
        <f t="shared" si="23"/>
        <v>0</v>
      </c>
      <c r="AT71" s="285"/>
      <c r="AU71" s="285">
        <f t="shared" si="136"/>
        <v>0</v>
      </c>
      <c r="AV71" s="184"/>
      <c r="AW71" s="186"/>
    </row>
    <row r="72" spans="1:50" ht="15.75" x14ac:dyDescent="0.25">
      <c r="A72">
        <f t="shared" si="24"/>
        <v>39</v>
      </c>
      <c r="B72" s="84" t="s">
        <v>264</v>
      </c>
      <c r="C72" s="192">
        <v>7.61</v>
      </c>
      <c r="D72" s="25">
        <f t="shared" si="117"/>
        <v>8.19</v>
      </c>
      <c r="E72" s="237" t="s">
        <v>189</v>
      </c>
      <c r="F72" s="113"/>
      <c r="G72" s="113">
        <f>IF(O72&gt;0,O72*0.45+2*Z72,O72*0.45)</f>
        <v>0.9</v>
      </c>
      <c r="H72" s="28"/>
      <c r="I72" s="27">
        <f t="shared" si="119"/>
        <v>0</v>
      </c>
      <c r="J72" s="118"/>
      <c r="K72" s="113">
        <f t="shared" si="51"/>
        <v>0</v>
      </c>
      <c r="L72" s="28"/>
      <c r="M72" s="27">
        <f t="shared" si="69"/>
        <v>0</v>
      </c>
      <c r="N72" s="28">
        <v>2</v>
      </c>
      <c r="O72" s="72">
        <v>2</v>
      </c>
      <c r="P72" s="72">
        <f t="shared" si="120"/>
        <v>4</v>
      </c>
      <c r="Q72" s="27">
        <f t="shared" si="121"/>
        <v>36</v>
      </c>
      <c r="R72" s="157" t="s">
        <v>184</v>
      </c>
      <c r="S72" s="73">
        <f t="shared" si="141"/>
        <v>0.61460000000000004</v>
      </c>
      <c r="T72" s="25">
        <f t="shared" si="123"/>
        <v>4.6771060000000002</v>
      </c>
      <c r="U72" s="235" t="s">
        <v>183</v>
      </c>
      <c r="V72" s="25">
        <f t="shared" si="12"/>
        <v>0</v>
      </c>
      <c r="W72" s="25">
        <f t="shared" si="124"/>
        <v>0</v>
      </c>
      <c r="X72" s="25">
        <f t="shared" si="32"/>
        <v>2.1</v>
      </c>
      <c r="Y72" s="29">
        <f t="shared" ref="Y72:Y79" si="156">C72*X72*0.1</f>
        <v>1.5981000000000003</v>
      </c>
      <c r="Z72" s="160"/>
      <c r="AA72" s="279" t="s">
        <v>183</v>
      </c>
      <c r="AB72" s="76">
        <f t="shared" si="13"/>
        <v>0</v>
      </c>
      <c r="AC72" s="279" t="s">
        <v>183</v>
      </c>
      <c r="AD72" s="161">
        <f t="shared" si="14"/>
        <v>0</v>
      </c>
      <c r="AE72" s="163">
        <f>X72*C72</f>
        <v>15.981000000000002</v>
      </c>
      <c r="AF72" s="76">
        <f t="shared" si="16"/>
        <v>0</v>
      </c>
      <c r="AG72" s="161">
        <f t="shared" si="17"/>
        <v>0</v>
      </c>
      <c r="AH72" s="235" t="s">
        <v>183</v>
      </c>
      <c r="AI72" s="167">
        <f t="shared" si="18"/>
        <v>0</v>
      </c>
      <c r="AJ72" s="174">
        <f t="shared" si="126"/>
        <v>0</v>
      </c>
      <c r="AK72" s="167" t="str">
        <f t="shared" ref="AK72:AK79" si="157">E72</f>
        <v>nástupiště</v>
      </c>
      <c r="AL72" s="167">
        <f t="shared" si="0"/>
        <v>0.35</v>
      </c>
      <c r="AM72" s="167">
        <f t="shared" si="1"/>
        <v>4.4850000000000003</v>
      </c>
      <c r="AN72" s="167">
        <f t="shared" si="21"/>
        <v>34.130850000000002</v>
      </c>
      <c r="AO72" s="167">
        <f t="shared" si="90"/>
        <v>3.2750000000000004</v>
      </c>
      <c r="AP72" s="167">
        <f>C72*AO72</f>
        <v>24.922750000000004</v>
      </c>
      <c r="AQ72" s="157"/>
      <c r="AR72" s="285">
        <f t="shared" si="22"/>
        <v>0</v>
      </c>
      <c r="AS72" s="285">
        <f t="shared" si="23"/>
        <v>0</v>
      </c>
      <c r="AT72" s="284" t="s">
        <v>184</v>
      </c>
      <c r="AU72" s="285">
        <f t="shared" si="136"/>
        <v>28.004800000000003</v>
      </c>
      <c r="AV72" s="184"/>
      <c r="AW72" s="186"/>
      <c r="AX72" t="str">
        <f>B72</f>
        <v>Š30-31</v>
      </c>
    </row>
    <row r="73" spans="1:50" ht="15.75" x14ac:dyDescent="0.25">
      <c r="A73">
        <f t="shared" si="24"/>
        <v>40</v>
      </c>
      <c r="B73" s="84" t="s">
        <v>265</v>
      </c>
      <c r="C73" s="192">
        <v>2</v>
      </c>
      <c r="D73" s="25">
        <f t="shared" si="117"/>
        <v>2.58</v>
      </c>
      <c r="E73" s="237" t="s">
        <v>189</v>
      </c>
      <c r="F73" s="113"/>
      <c r="G73" s="113">
        <f>IF(O73&gt;0,O73*0.45+2*Z73,O73*0.45)</f>
        <v>0</v>
      </c>
      <c r="H73" s="28"/>
      <c r="I73" s="27">
        <f t="shared" si="119"/>
        <v>0</v>
      </c>
      <c r="J73" s="118">
        <v>6</v>
      </c>
      <c r="K73" s="113">
        <f t="shared" si="51"/>
        <v>18</v>
      </c>
      <c r="L73" s="28">
        <v>4</v>
      </c>
      <c r="M73" s="27">
        <f t="shared" si="69"/>
        <v>12</v>
      </c>
      <c r="N73" s="28"/>
      <c r="O73" s="72"/>
      <c r="P73" s="72">
        <f t="shared" si="120"/>
        <v>0</v>
      </c>
      <c r="Q73" s="27">
        <f t="shared" si="121"/>
        <v>0</v>
      </c>
      <c r="R73" s="157" t="s">
        <v>184</v>
      </c>
      <c r="S73" s="277">
        <v>1</v>
      </c>
      <c r="T73" s="25">
        <f t="shared" si="123"/>
        <v>2</v>
      </c>
      <c r="U73" s="235" t="s">
        <v>183</v>
      </c>
      <c r="V73" s="25">
        <f t="shared" si="12"/>
        <v>0</v>
      </c>
      <c r="W73" s="25">
        <f t="shared" si="124"/>
        <v>0</v>
      </c>
      <c r="X73" s="282">
        <f>IF(C73&gt;0,H73*0.1+J73*0.15+L73*0.2+0.3+0.6,0)</f>
        <v>2.6</v>
      </c>
      <c r="Y73" s="29">
        <f t="shared" si="156"/>
        <v>0.52</v>
      </c>
      <c r="Z73" s="160"/>
      <c r="AA73" s="279" t="s">
        <v>183</v>
      </c>
      <c r="AB73" s="76">
        <f t="shared" si="13"/>
        <v>0</v>
      </c>
      <c r="AC73" s="279" t="s">
        <v>183</v>
      </c>
      <c r="AD73" s="161">
        <f t="shared" si="14"/>
        <v>0</v>
      </c>
      <c r="AE73" s="163">
        <f>X73*C73</f>
        <v>5.2</v>
      </c>
      <c r="AF73" s="76">
        <f t="shared" si="16"/>
        <v>0</v>
      </c>
      <c r="AG73" s="161">
        <f t="shared" si="17"/>
        <v>0</v>
      </c>
      <c r="AH73" s="235" t="s">
        <v>183</v>
      </c>
      <c r="AI73" s="167">
        <f t="shared" si="18"/>
        <v>0</v>
      </c>
      <c r="AJ73" s="174">
        <f t="shared" si="126"/>
        <v>0</v>
      </c>
      <c r="AK73" s="167" t="str">
        <f t="shared" si="157"/>
        <v>nástupiště</v>
      </c>
      <c r="AL73" s="167">
        <f t="shared" si="0"/>
        <v>0.35</v>
      </c>
      <c r="AM73" s="167">
        <f t="shared" si="1"/>
        <v>0.94324999999999992</v>
      </c>
      <c r="AN73" s="167">
        <f t="shared" si="21"/>
        <v>1.8864999999999998</v>
      </c>
      <c r="AO73" s="167">
        <f t="shared" si="90"/>
        <v>-1.2767499999999998</v>
      </c>
      <c r="AP73" s="167">
        <f>C73*AO73</f>
        <v>-2.5534999999999997</v>
      </c>
      <c r="AQ73" s="157"/>
      <c r="AR73" s="285">
        <f t="shared" si="22"/>
        <v>0</v>
      </c>
      <c r="AS73" s="285">
        <f t="shared" si="23"/>
        <v>0</v>
      </c>
      <c r="AT73" s="284" t="s">
        <v>184</v>
      </c>
      <c r="AU73" s="285">
        <f t="shared" si="136"/>
        <v>1.38</v>
      </c>
      <c r="AV73" s="184"/>
      <c r="AW73" s="186"/>
      <c r="AX73" t="str">
        <f>B73</f>
        <v>Š31-nast 1</v>
      </c>
    </row>
    <row r="74" spans="1:50" ht="15.75" x14ac:dyDescent="0.25">
      <c r="A74">
        <f t="shared" si="24"/>
        <v>40</v>
      </c>
      <c r="B74" s="84"/>
      <c r="C74" s="192"/>
      <c r="D74" s="25"/>
      <c r="E74" s="237"/>
      <c r="F74" s="113"/>
      <c r="G74" s="113"/>
      <c r="H74" s="28"/>
      <c r="I74" s="27"/>
      <c r="J74" s="118"/>
      <c r="K74" s="113">
        <f t="shared" si="51"/>
        <v>0</v>
      </c>
      <c r="L74" s="28"/>
      <c r="M74" s="27">
        <f t="shared" si="69"/>
        <v>0</v>
      </c>
      <c r="N74" s="28"/>
      <c r="O74" s="72"/>
      <c r="P74" s="72"/>
      <c r="Q74" s="27"/>
      <c r="R74" s="157"/>
      <c r="S74" s="73">
        <f t="shared" si="79"/>
        <v>0</v>
      </c>
      <c r="T74" s="25"/>
      <c r="U74" s="235"/>
      <c r="V74" s="25">
        <f t="shared" si="12"/>
        <v>0</v>
      </c>
      <c r="W74" s="25"/>
      <c r="X74" s="25">
        <f t="shared" si="32"/>
        <v>0</v>
      </c>
      <c r="Y74" s="29"/>
      <c r="Z74" s="160"/>
      <c r="AA74" s="279"/>
      <c r="AB74" s="76">
        <f t="shared" si="13"/>
        <v>0</v>
      </c>
      <c r="AC74" s="279"/>
      <c r="AD74" s="161">
        <f t="shared" si="14"/>
        <v>0</v>
      </c>
      <c r="AE74" s="163"/>
      <c r="AF74" s="76">
        <f t="shared" si="16"/>
        <v>0</v>
      </c>
      <c r="AG74" s="161">
        <f t="shared" si="17"/>
        <v>0</v>
      </c>
      <c r="AH74" s="235"/>
      <c r="AI74" s="167">
        <f t="shared" si="18"/>
        <v>0</v>
      </c>
      <c r="AJ74" s="174"/>
      <c r="AK74" s="167"/>
      <c r="AL74" s="167">
        <f t="shared" si="0"/>
        <v>0</v>
      </c>
      <c r="AM74" s="167">
        <f t="shared" si="1"/>
        <v>0</v>
      </c>
      <c r="AN74" s="167">
        <f t="shared" si="21"/>
        <v>0</v>
      </c>
      <c r="AO74" s="167">
        <f t="shared" si="90"/>
        <v>0</v>
      </c>
      <c r="AP74" s="167"/>
      <c r="AQ74" s="157"/>
      <c r="AR74" s="285">
        <f t="shared" si="22"/>
        <v>0</v>
      </c>
      <c r="AS74" s="285">
        <f t="shared" si="23"/>
        <v>0</v>
      </c>
      <c r="AT74" s="284"/>
      <c r="AU74" s="285">
        <f t="shared" si="136"/>
        <v>0</v>
      </c>
      <c r="AV74" s="184"/>
      <c r="AW74" s="186"/>
    </row>
    <row r="75" spans="1:50" ht="15.75" x14ac:dyDescent="0.25">
      <c r="A75">
        <f t="shared" si="24"/>
        <v>41</v>
      </c>
      <c r="B75" s="84" t="s">
        <v>167</v>
      </c>
      <c r="C75" s="192">
        <v>4.5999999999999996</v>
      </c>
      <c r="D75" s="25">
        <f t="shared" si="117"/>
        <v>5.18</v>
      </c>
      <c r="E75" s="237" t="s">
        <v>189</v>
      </c>
      <c r="F75" s="113"/>
      <c r="G75" s="113">
        <f>IF(O75&gt;0,O75*0.45+2*Z75,O75*0.45)</f>
        <v>0.9</v>
      </c>
      <c r="H75" s="28"/>
      <c r="I75" s="27">
        <f t="shared" si="119"/>
        <v>0</v>
      </c>
      <c r="J75" s="118"/>
      <c r="K75" s="113">
        <f t="shared" si="51"/>
        <v>0</v>
      </c>
      <c r="L75" s="28"/>
      <c r="M75" s="27">
        <f t="shared" si="69"/>
        <v>0</v>
      </c>
      <c r="N75" s="28">
        <v>2</v>
      </c>
      <c r="O75" s="72">
        <v>2</v>
      </c>
      <c r="P75" s="72">
        <f t="shared" si="120"/>
        <v>4</v>
      </c>
      <c r="Q75" s="27">
        <f t="shared" si="121"/>
        <v>24</v>
      </c>
      <c r="R75" s="157" t="s">
        <v>184</v>
      </c>
      <c r="S75" s="73">
        <f t="shared" ref="S75" si="158">IF(R75="ano",(N75*0.45+0.25)*(O75*0.45+0.15)-(N75*0.385)*(O75*0.385),0)</f>
        <v>0.61460000000000004</v>
      </c>
      <c r="T75" s="25">
        <f t="shared" si="123"/>
        <v>2.8271600000000001</v>
      </c>
      <c r="U75" s="235" t="s">
        <v>183</v>
      </c>
      <c r="V75" s="25">
        <f t="shared" si="12"/>
        <v>0</v>
      </c>
      <c r="W75" s="25">
        <f t="shared" si="124"/>
        <v>0</v>
      </c>
      <c r="X75" s="25">
        <f t="shared" si="32"/>
        <v>2.1</v>
      </c>
      <c r="Y75" s="29">
        <f t="shared" si="156"/>
        <v>0.96600000000000008</v>
      </c>
      <c r="Z75" s="160"/>
      <c r="AA75" s="279" t="s">
        <v>183</v>
      </c>
      <c r="AB75" s="76">
        <f t="shared" si="13"/>
        <v>0</v>
      </c>
      <c r="AC75" s="279" t="s">
        <v>183</v>
      </c>
      <c r="AD75" s="161">
        <f t="shared" si="14"/>
        <v>0</v>
      </c>
      <c r="AE75" s="163">
        <f>X75*C75</f>
        <v>9.66</v>
      </c>
      <c r="AF75" s="76">
        <f t="shared" si="16"/>
        <v>0</v>
      </c>
      <c r="AG75" s="161">
        <f t="shared" si="17"/>
        <v>0</v>
      </c>
      <c r="AH75" s="235" t="s">
        <v>183</v>
      </c>
      <c r="AI75" s="167">
        <f t="shared" si="18"/>
        <v>0</v>
      </c>
      <c r="AJ75" s="174">
        <f t="shared" si="126"/>
        <v>0</v>
      </c>
      <c r="AK75" s="167" t="str">
        <f t="shared" si="157"/>
        <v>nástupiště</v>
      </c>
      <c r="AL75" s="167">
        <f t="shared" si="0"/>
        <v>0.35</v>
      </c>
      <c r="AM75" s="167">
        <f t="shared" si="1"/>
        <v>4.4850000000000003</v>
      </c>
      <c r="AN75" s="167">
        <f t="shared" si="21"/>
        <v>20.631</v>
      </c>
      <c r="AO75" s="167">
        <f t="shared" si="90"/>
        <v>3.2750000000000004</v>
      </c>
      <c r="AP75" s="167">
        <f>C75*AO75</f>
        <v>15.065000000000001</v>
      </c>
      <c r="AQ75" s="157"/>
      <c r="AR75" s="285">
        <f t="shared" si="22"/>
        <v>0</v>
      </c>
      <c r="AS75" s="285">
        <f t="shared" si="23"/>
        <v>0</v>
      </c>
      <c r="AT75" s="284" t="s">
        <v>184</v>
      </c>
      <c r="AU75" s="285">
        <f t="shared" si="136"/>
        <v>16.927999999999997</v>
      </c>
      <c r="AV75" s="184"/>
      <c r="AW75" s="186"/>
      <c r="AX75" t="str">
        <f>B75</f>
        <v>Š31-Š32</v>
      </c>
    </row>
    <row r="76" spans="1:50" ht="15.75" x14ac:dyDescent="0.25">
      <c r="A76">
        <f t="shared" si="24"/>
        <v>42</v>
      </c>
      <c r="B76" s="84" t="s">
        <v>266</v>
      </c>
      <c r="C76" s="192">
        <v>3</v>
      </c>
      <c r="D76" s="25">
        <f t="shared" ref="D76" si="159">IF(C76&gt;0,C76+0.58,0)</f>
        <v>3.58</v>
      </c>
      <c r="E76" s="237" t="s">
        <v>189</v>
      </c>
      <c r="F76" s="113"/>
      <c r="G76" s="113">
        <f t="shared" ref="G76" si="160">IF(O76&gt;0,O76*0.45+2*Z76,O76*0.45)</f>
        <v>0</v>
      </c>
      <c r="H76" s="28">
        <v>6</v>
      </c>
      <c r="I76" s="27">
        <f t="shared" ref="I76" si="161">IF(C76&gt;0,CEILING(C76+0.58,1)*H76,0)</f>
        <v>24</v>
      </c>
      <c r="J76" s="118"/>
      <c r="K76" s="113">
        <f t="shared" si="51"/>
        <v>0</v>
      </c>
      <c r="L76" s="28"/>
      <c r="M76" s="27">
        <f t="shared" si="69"/>
        <v>0</v>
      </c>
      <c r="N76" s="28"/>
      <c r="O76" s="72"/>
      <c r="P76" s="72">
        <f t="shared" ref="P76" si="162">N76*O76</f>
        <v>0</v>
      </c>
      <c r="Q76" s="27">
        <f t="shared" ref="Q76" si="163">IF(C76&gt;0,CEILING(C76+0.58,1)*P76,0)</f>
        <v>0</v>
      </c>
      <c r="R76" s="157" t="s">
        <v>184</v>
      </c>
      <c r="S76" s="277">
        <v>0.5</v>
      </c>
      <c r="T76" s="25">
        <f t="shared" ref="T76" si="164">C76*S76</f>
        <v>1.5</v>
      </c>
      <c r="U76" s="235" t="s">
        <v>183</v>
      </c>
      <c r="V76" s="25">
        <f t="shared" si="12"/>
        <v>0</v>
      </c>
      <c r="W76" s="25">
        <f t="shared" ref="W76" si="165">C76*V76</f>
        <v>0</v>
      </c>
      <c r="X76" s="282">
        <f t="shared" ref="X76:X77" si="166">IF(C76&gt;0,H76*0.1+J76*0.15+L76*0.2+0.3+0.6,0)</f>
        <v>1.5</v>
      </c>
      <c r="Y76" s="29">
        <f t="shared" ref="Y76" si="167">C76*X76*0.1</f>
        <v>0.45</v>
      </c>
      <c r="Z76" s="160"/>
      <c r="AA76" s="279" t="s">
        <v>183</v>
      </c>
      <c r="AB76" s="76">
        <f t="shared" si="13"/>
        <v>0</v>
      </c>
      <c r="AC76" s="279" t="s">
        <v>183</v>
      </c>
      <c r="AD76" s="161">
        <f t="shared" si="14"/>
        <v>0</v>
      </c>
      <c r="AE76" s="163">
        <f t="shared" ref="AE76" si="168">X76*C76</f>
        <v>4.5</v>
      </c>
      <c r="AF76" s="76">
        <f t="shared" si="16"/>
        <v>0</v>
      </c>
      <c r="AG76" s="161">
        <f t="shared" si="17"/>
        <v>0</v>
      </c>
      <c r="AH76" s="235" t="s">
        <v>183</v>
      </c>
      <c r="AI76" s="167">
        <f t="shared" si="18"/>
        <v>0</v>
      </c>
      <c r="AJ76" s="174">
        <f t="shared" ref="AJ76" si="169">AI76*2</f>
        <v>0</v>
      </c>
      <c r="AK76" s="167" t="str">
        <f t="shared" ref="AK76" si="170">E76</f>
        <v>nástupiště</v>
      </c>
      <c r="AL76" s="167">
        <f t="shared" si="0"/>
        <v>0.35</v>
      </c>
      <c r="AM76" s="167">
        <f t="shared" si="1"/>
        <v>0.64324999999999988</v>
      </c>
      <c r="AN76" s="167">
        <f t="shared" si="21"/>
        <v>1.9297499999999996</v>
      </c>
      <c r="AO76" s="167">
        <f t="shared" si="90"/>
        <v>-0.10675000000000023</v>
      </c>
      <c r="AP76" s="167">
        <f t="shared" ref="AP76" si="171">C76*AO76</f>
        <v>-0.3202500000000007</v>
      </c>
      <c r="AQ76" s="157"/>
      <c r="AR76" s="285">
        <f t="shared" si="22"/>
        <v>0</v>
      </c>
      <c r="AS76" s="285">
        <f t="shared" si="23"/>
        <v>0</v>
      </c>
      <c r="AT76" s="284"/>
      <c r="AU76" s="285">
        <f t="shared" si="136"/>
        <v>0</v>
      </c>
      <c r="AV76" s="184" t="s">
        <v>184</v>
      </c>
      <c r="AW76" s="186"/>
      <c r="AX76" t="str">
        <f t="shared" ref="AX76" si="172">B76</f>
        <v>Š32-KONEC</v>
      </c>
    </row>
    <row r="77" spans="1:50" ht="15.75" x14ac:dyDescent="0.25">
      <c r="A77">
        <f t="shared" si="24"/>
        <v>43</v>
      </c>
      <c r="B77" s="84" t="s">
        <v>266</v>
      </c>
      <c r="C77" s="192">
        <v>5.8</v>
      </c>
      <c r="D77" s="25">
        <f t="shared" si="117"/>
        <v>6.38</v>
      </c>
      <c r="E77" s="237" t="s">
        <v>189</v>
      </c>
      <c r="F77" s="113"/>
      <c r="G77" s="113">
        <f t="shared" ref="G77:G79" si="173">IF(O77&gt;0,O77*0.45+2*Z77,O77*0.45)</f>
        <v>0</v>
      </c>
      <c r="H77" s="28">
        <v>6</v>
      </c>
      <c r="I77" s="27">
        <f t="shared" si="119"/>
        <v>42</v>
      </c>
      <c r="J77" s="118"/>
      <c r="K77" s="113">
        <f t="shared" si="51"/>
        <v>0</v>
      </c>
      <c r="L77" s="28"/>
      <c r="M77" s="27">
        <f t="shared" si="69"/>
        <v>0</v>
      </c>
      <c r="N77" s="28"/>
      <c r="O77" s="72"/>
      <c r="P77" s="72">
        <f t="shared" si="120"/>
        <v>0</v>
      </c>
      <c r="Q77" s="27">
        <f t="shared" si="121"/>
        <v>0</v>
      </c>
      <c r="R77" s="157" t="s">
        <v>184</v>
      </c>
      <c r="S77" s="277">
        <v>0.5</v>
      </c>
      <c r="T77" s="25">
        <f t="shared" si="123"/>
        <v>2.9</v>
      </c>
      <c r="U77" s="235" t="s">
        <v>183</v>
      </c>
      <c r="V77" s="25">
        <f t="shared" si="12"/>
        <v>0</v>
      </c>
      <c r="W77" s="25">
        <f t="shared" si="124"/>
        <v>0</v>
      </c>
      <c r="X77" s="282">
        <f t="shared" si="166"/>
        <v>1.5</v>
      </c>
      <c r="Y77" s="29">
        <f t="shared" si="156"/>
        <v>0.87</v>
      </c>
      <c r="Z77" s="160"/>
      <c r="AA77" s="279" t="s">
        <v>183</v>
      </c>
      <c r="AB77" s="76">
        <f t="shared" si="13"/>
        <v>0</v>
      </c>
      <c r="AC77" s="279" t="s">
        <v>183</v>
      </c>
      <c r="AD77" s="161">
        <f t="shared" si="14"/>
        <v>0</v>
      </c>
      <c r="AE77" s="163">
        <f t="shared" ref="AE77:AE79" si="174">X77*C77</f>
        <v>8.6999999999999993</v>
      </c>
      <c r="AF77" s="76">
        <f t="shared" si="16"/>
        <v>0</v>
      </c>
      <c r="AG77" s="161">
        <f t="shared" si="17"/>
        <v>0</v>
      </c>
      <c r="AH77" s="235" t="s">
        <v>183</v>
      </c>
      <c r="AI77" s="167">
        <f t="shared" si="18"/>
        <v>0</v>
      </c>
      <c r="AJ77" s="174">
        <f t="shared" si="126"/>
        <v>0</v>
      </c>
      <c r="AK77" s="167" t="str">
        <f t="shared" si="157"/>
        <v>nástupiště</v>
      </c>
      <c r="AL77" s="167">
        <f t="shared" si="0"/>
        <v>0.35</v>
      </c>
      <c r="AM77" s="167">
        <f t="shared" si="1"/>
        <v>0.64324999999999988</v>
      </c>
      <c r="AN77" s="167">
        <f t="shared" si="21"/>
        <v>3.7308499999999993</v>
      </c>
      <c r="AO77" s="167">
        <f t="shared" si="90"/>
        <v>-0.10675000000000023</v>
      </c>
      <c r="AP77" s="167">
        <f t="shared" ref="AP77:AP79" si="175">C77*AO77</f>
        <v>-0.61915000000000131</v>
      </c>
      <c r="AQ77" s="157"/>
      <c r="AR77" s="285">
        <f t="shared" si="22"/>
        <v>0</v>
      </c>
      <c r="AS77" s="285">
        <f t="shared" si="23"/>
        <v>0</v>
      </c>
      <c r="AT77" s="284"/>
      <c r="AU77" s="285">
        <f t="shared" si="136"/>
        <v>0</v>
      </c>
      <c r="AV77" s="184" t="s">
        <v>184</v>
      </c>
      <c r="AW77" s="186"/>
      <c r="AX77" t="str">
        <f t="shared" ref="AX77:AX79" si="176">B77</f>
        <v>Š32-KONEC</v>
      </c>
    </row>
    <row r="78" spans="1:50" ht="15.75" x14ac:dyDescent="0.25">
      <c r="A78">
        <f t="shared" si="24"/>
        <v>43</v>
      </c>
      <c r="B78" s="84"/>
      <c r="C78" s="192"/>
      <c r="D78" s="25"/>
      <c r="E78" s="237"/>
      <c r="F78" s="113"/>
      <c r="G78" s="113"/>
      <c r="H78" s="28"/>
      <c r="I78" s="27"/>
      <c r="J78" s="118"/>
      <c r="K78" s="113">
        <f t="shared" si="51"/>
        <v>0</v>
      </c>
      <c r="L78" s="28"/>
      <c r="M78" s="27">
        <f t="shared" si="69"/>
        <v>0</v>
      </c>
      <c r="N78" s="28"/>
      <c r="O78" s="72"/>
      <c r="P78" s="72">
        <f t="shared" si="120"/>
        <v>0</v>
      </c>
      <c r="Q78" s="27"/>
      <c r="R78" s="157"/>
      <c r="S78" s="73">
        <f t="shared" ref="S78:S99" si="177">IF(R78="ano",(N78*0.45+0.25)*(O78*0.45+0.15)-(N78*0.385)*(O78*0.385),0)</f>
        <v>0</v>
      </c>
      <c r="T78" s="25"/>
      <c r="U78" s="235"/>
      <c r="V78" s="25">
        <f t="shared" si="12"/>
        <v>0</v>
      </c>
      <c r="W78" s="25"/>
      <c r="X78" s="25">
        <f t="shared" si="32"/>
        <v>0</v>
      </c>
      <c r="Y78" s="29"/>
      <c r="Z78" s="160"/>
      <c r="AA78" s="279"/>
      <c r="AB78" s="76">
        <f t="shared" si="13"/>
        <v>0</v>
      </c>
      <c r="AC78" s="279"/>
      <c r="AD78" s="161">
        <f t="shared" si="14"/>
        <v>0</v>
      </c>
      <c r="AE78" s="163"/>
      <c r="AF78" s="76">
        <f t="shared" si="16"/>
        <v>0</v>
      </c>
      <c r="AG78" s="161">
        <f t="shared" si="17"/>
        <v>0</v>
      </c>
      <c r="AH78" s="235"/>
      <c r="AI78" s="167">
        <f t="shared" si="18"/>
        <v>0</v>
      </c>
      <c r="AJ78" s="174"/>
      <c r="AK78" s="167"/>
      <c r="AL78" s="167">
        <f t="shared" si="0"/>
        <v>0</v>
      </c>
      <c r="AM78" s="167">
        <f t="shared" si="1"/>
        <v>0</v>
      </c>
      <c r="AN78" s="167">
        <f t="shared" si="21"/>
        <v>0</v>
      </c>
      <c r="AO78" s="167">
        <f t="shared" si="90"/>
        <v>0</v>
      </c>
      <c r="AP78" s="167"/>
      <c r="AQ78" s="157"/>
      <c r="AR78" s="285">
        <f t="shared" si="22"/>
        <v>0</v>
      </c>
      <c r="AS78" s="285">
        <f t="shared" si="23"/>
        <v>0</v>
      </c>
      <c r="AT78" s="284"/>
      <c r="AU78" s="285">
        <f t="shared" si="136"/>
        <v>0</v>
      </c>
      <c r="AV78" s="184"/>
      <c r="AW78" s="186"/>
    </row>
    <row r="79" spans="1:50" ht="15.75" x14ac:dyDescent="0.25">
      <c r="A79">
        <f t="shared" si="24"/>
        <v>44</v>
      </c>
      <c r="B79" s="84" t="s">
        <v>267</v>
      </c>
      <c r="C79" s="192">
        <v>20.010000000000002</v>
      </c>
      <c r="D79" s="25">
        <f t="shared" si="117"/>
        <v>20.59</v>
      </c>
      <c r="E79" s="237" t="s">
        <v>189</v>
      </c>
      <c r="F79" s="113"/>
      <c r="G79" s="113">
        <f t="shared" si="173"/>
        <v>0.9</v>
      </c>
      <c r="H79" s="28"/>
      <c r="I79" s="27">
        <f t="shared" si="119"/>
        <v>0</v>
      </c>
      <c r="J79" s="118"/>
      <c r="K79" s="113">
        <f t="shared" si="51"/>
        <v>0</v>
      </c>
      <c r="L79" s="28"/>
      <c r="M79" s="27">
        <f t="shared" si="69"/>
        <v>0</v>
      </c>
      <c r="N79" s="28">
        <v>1</v>
      </c>
      <c r="O79" s="72">
        <v>2</v>
      </c>
      <c r="P79" s="72">
        <f t="shared" si="120"/>
        <v>2</v>
      </c>
      <c r="Q79" s="27">
        <f t="shared" si="121"/>
        <v>42</v>
      </c>
      <c r="R79" s="157" t="s">
        <v>184</v>
      </c>
      <c r="S79" s="73">
        <f t="shared" si="177"/>
        <v>0.43855</v>
      </c>
      <c r="T79" s="25">
        <f t="shared" si="123"/>
        <v>8.7753855000000005</v>
      </c>
      <c r="U79" s="235" t="s">
        <v>183</v>
      </c>
      <c r="V79" s="25">
        <f t="shared" si="12"/>
        <v>0</v>
      </c>
      <c r="W79" s="25">
        <f t="shared" si="124"/>
        <v>0</v>
      </c>
      <c r="X79" s="25">
        <f t="shared" si="32"/>
        <v>1.7000000000000002</v>
      </c>
      <c r="Y79" s="29">
        <f t="shared" si="156"/>
        <v>3.4017000000000004</v>
      </c>
      <c r="Z79" s="160"/>
      <c r="AA79" s="279" t="s">
        <v>183</v>
      </c>
      <c r="AB79" s="76">
        <f t="shared" si="13"/>
        <v>0</v>
      </c>
      <c r="AC79" s="279" t="s">
        <v>183</v>
      </c>
      <c r="AD79" s="161">
        <f t="shared" si="14"/>
        <v>0</v>
      </c>
      <c r="AE79" s="163">
        <f t="shared" si="174"/>
        <v>34.017000000000003</v>
      </c>
      <c r="AF79" s="76">
        <f t="shared" si="16"/>
        <v>0</v>
      </c>
      <c r="AG79" s="161">
        <f t="shared" si="17"/>
        <v>0</v>
      </c>
      <c r="AH79" s="235" t="s">
        <v>183</v>
      </c>
      <c r="AI79" s="167">
        <f t="shared" si="18"/>
        <v>0</v>
      </c>
      <c r="AJ79" s="174">
        <f t="shared" si="126"/>
        <v>0</v>
      </c>
      <c r="AK79" s="167" t="str">
        <f t="shared" si="157"/>
        <v>nástupiště</v>
      </c>
      <c r="AL79" s="167">
        <f t="shared" si="0"/>
        <v>0.35</v>
      </c>
      <c r="AM79" s="167">
        <f t="shared" si="1"/>
        <v>3.0273750000000001</v>
      </c>
      <c r="AN79" s="167">
        <f t="shared" si="21"/>
        <v>60.577773750000006</v>
      </c>
      <c r="AO79" s="167">
        <f t="shared" si="90"/>
        <v>2.3573750000000002</v>
      </c>
      <c r="AP79" s="167">
        <f t="shared" si="175"/>
        <v>47.171073750000005</v>
      </c>
      <c r="AQ79" s="157"/>
      <c r="AR79" s="285">
        <f t="shared" si="22"/>
        <v>0</v>
      </c>
      <c r="AS79" s="285">
        <f t="shared" si="23"/>
        <v>0</v>
      </c>
      <c r="AT79" s="284" t="s">
        <v>184</v>
      </c>
      <c r="AU79" s="285">
        <f t="shared" si="136"/>
        <v>73.636800000000008</v>
      </c>
      <c r="AV79" s="184"/>
      <c r="AW79" s="186"/>
      <c r="AX79" t="str">
        <f t="shared" si="176"/>
        <v>Š30-Š33</v>
      </c>
    </row>
    <row r="80" spans="1:50" ht="15.75" x14ac:dyDescent="0.25">
      <c r="A80">
        <f t="shared" si="24"/>
        <v>44</v>
      </c>
      <c r="B80" s="84"/>
      <c r="C80" s="192"/>
      <c r="D80" s="25"/>
      <c r="E80" s="237"/>
      <c r="F80" s="113"/>
      <c r="G80" s="113"/>
      <c r="H80" s="28"/>
      <c r="I80" s="27"/>
      <c r="J80" s="118"/>
      <c r="K80" s="113">
        <f t="shared" si="51"/>
        <v>0</v>
      </c>
      <c r="L80" s="28"/>
      <c r="M80" s="27">
        <f t="shared" si="69"/>
        <v>0</v>
      </c>
      <c r="N80" s="28"/>
      <c r="O80" s="72"/>
      <c r="P80" s="72">
        <f t="shared" si="120"/>
        <v>0</v>
      </c>
      <c r="Q80" s="27"/>
      <c r="R80" s="157"/>
      <c r="S80" s="73">
        <f t="shared" si="177"/>
        <v>0</v>
      </c>
      <c r="T80" s="25"/>
      <c r="U80" s="235"/>
      <c r="V80" s="25">
        <f t="shared" si="12"/>
        <v>0</v>
      </c>
      <c r="W80" s="25"/>
      <c r="X80" s="25">
        <f t="shared" si="32"/>
        <v>0</v>
      </c>
      <c r="Y80" s="29"/>
      <c r="Z80" s="160"/>
      <c r="AA80" s="279"/>
      <c r="AB80" s="76">
        <f t="shared" si="13"/>
        <v>0</v>
      </c>
      <c r="AC80" s="279"/>
      <c r="AD80" s="161">
        <f t="shared" si="14"/>
        <v>0</v>
      </c>
      <c r="AE80" s="163"/>
      <c r="AF80" s="76">
        <f t="shared" si="16"/>
        <v>0</v>
      </c>
      <c r="AG80" s="161">
        <f t="shared" si="17"/>
        <v>0</v>
      </c>
      <c r="AH80" s="235"/>
      <c r="AI80" s="167">
        <f t="shared" si="18"/>
        <v>0</v>
      </c>
      <c r="AJ80" s="174"/>
      <c r="AK80" s="167"/>
      <c r="AL80" s="167">
        <f t="shared" si="0"/>
        <v>0</v>
      </c>
      <c r="AM80" s="167">
        <f t="shared" si="1"/>
        <v>0</v>
      </c>
      <c r="AN80" s="167">
        <f t="shared" si="21"/>
        <v>0</v>
      </c>
      <c r="AO80" s="167">
        <f t="shared" si="90"/>
        <v>0</v>
      </c>
      <c r="AP80" s="167"/>
      <c r="AQ80" s="157"/>
      <c r="AR80" s="285">
        <f t="shared" si="22"/>
        <v>0</v>
      </c>
      <c r="AS80" s="285">
        <f t="shared" si="23"/>
        <v>0</v>
      </c>
      <c r="AT80" s="284"/>
      <c r="AU80" s="285">
        <f t="shared" si="136"/>
        <v>0</v>
      </c>
      <c r="AV80" s="184"/>
      <c r="AW80" s="186"/>
    </row>
    <row r="81" spans="1:50" ht="15.75" x14ac:dyDescent="0.25">
      <c r="A81">
        <f t="shared" si="24"/>
        <v>45</v>
      </c>
      <c r="B81" s="84" t="s">
        <v>168</v>
      </c>
      <c r="C81" s="192">
        <v>12.97</v>
      </c>
      <c r="D81" s="25">
        <f t="shared" ref="D81:D88" si="178">IF(C81&gt;0,C81+0.58,0)</f>
        <v>13.55</v>
      </c>
      <c r="E81" s="237" t="s">
        <v>189</v>
      </c>
      <c r="F81" s="113"/>
      <c r="G81" s="113">
        <f t="shared" ref="G81:G88" si="179">IF(O81&gt;0,O81*0.45+2*Z81,O81*0.45)</f>
        <v>0.9</v>
      </c>
      <c r="H81" s="28"/>
      <c r="I81" s="27">
        <f t="shared" ref="I81:I88" si="180">IF(C81&gt;0,CEILING(C81+0.58,1)*H81,0)</f>
        <v>0</v>
      </c>
      <c r="J81" s="118"/>
      <c r="K81" s="113">
        <f t="shared" si="51"/>
        <v>0</v>
      </c>
      <c r="L81" s="28"/>
      <c r="M81" s="27">
        <f t="shared" si="69"/>
        <v>0</v>
      </c>
      <c r="N81" s="28">
        <v>1</v>
      </c>
      <c r="O81" s="72">
        <v>2</v>
      </c>
      <c r="P81" s="72">
        <f t="shared" si="120"/>
        <v>2</v>
      </c>
      <c r="Q81" s="27">
        <f t="shared" ref="Q81:Q88" si="181">IF(C81&gt;0,CEILING(C81+0.58,1)*P81,0)</f>
        <v>28</v>
      </c>
      <c r="R81" s="157" t="s">
        <v>184</v>
      </c>
      <c r="S81" s="73">
        <f t="shared" si="177"/>
        <v>0.43855</v>
      </c>
      <c r="T81" s="25">
        <f t="shared" ref="T81:T88" si="182">C81*S81</f>
        <v>5.6879935000000001</v>
      </c>
      <c r="U81" s="235" t="s">
        <v>183</v>
      </c>
      <c r="V81" s="25">
        <f t="shared" si="12"/>
        <v>0</v>
      </c>
      <c r="W81" s="25">
        <f t="shared" ref="W81:W88" si="183">C81*V81</f>
        <v>0</v>
      </c>
      <c r="X81" s="25">
        <f t="shared" si="32"/>
        <v>1.7000000000000002</v>
      </c>
      <c r="Y81" s="29">
        <f t="shared" ref="Y81:Y88" si="184">C81*X81*0.1</f>
        <v>2.2049000000000003</v>
      </c>
      <c r="Z81" s="160"/>
      <c r="AA81" s="279" t="s">
        <v>183</v>
      </c>
      <c r="AB81" s="76">
        <f t="shared" si="13"/>
        <v>0</v>
      </c>
      <c r="AC81" s="279" t="s">
        <v>183</v>
      </c>
      <c r="AD81" s="161">
        <f t="shared" si="14"/>
        <v>0</v>
      </c>
      <c r="AE81" s="163">
        <f t="shared" ref="AE81:AE88" si="185">X81*C81</f>
        <v>22.049000000000003</v>
      </c>
      <c r="AF81" s="76">
        <f t="shared" si="16"/>
        <v>0</v>
      </c>
      <c r="AG81" s="161">
        <f t="shared" si="17"/>
        <v>0</v>
      </c>
      <c r="AH81" s="235" t="s">
        <v>183</v>
      </c>
      <c r="AI81" s="167">
        <f t="shared" si="18"/>
        <v>0</v>
      </c>
      <c r="AJ81" s="174">
        <f t="shared" ref="AJ81:AJ88" si="186">AI81*2</f>
        <v>0</v>
      </c>
      <c r="AK81" s="167" t="str">
        <f t="shared" ref="AK81:AK88" si="187">E81</f>
        <v>nástupiště</v>
      </c>
      <c r="AL81" s="167">
        <f t="shared" si="0"/>
        <v>0.35</v>
      </c>
      <c r="AM81" s="167">
        <f t="shared" si="1"/>
        <v>3.0273750000000001</v>
      </c>
      <c r="AN81" s="167">
        <f t="shared" si="21"/>
        <v>39.265053750000007</v>
      </c>
      <c r="AO81" s="167">
        <f t="shared" si="90"/>
        <v>2.3573750000000002</v>
      </c>
      <c r="AP81" s="167">
        <f t="shared" ref="AP81:AP88" si="188">C81*AO81</f>
        <v>30.575153750000005</v>
      </c>
      <c r="AQ81" s="157"/>
      <c r="AR81" s="285">
        <f t="shared" si="22"/>
        <v>0</v>
      </c>
      <c r="AS81" s="285">
        <f t="shared" si="23"/>
        <v>0</v>
      </c>
      <c r="AT81" s="284" t="s">
        <v>184</v>
      </c>
      <c r="AU81" s="285">
        <f t="shared" si="136"/>
        <v>47.729600000000005</v>
      </c>
      <c r="AV81" s="184"/>
      <c r="AW81" s="186"/>
      <c r="AX81" t="str">
        <f t="shared" ref="AX81:AX88" si="189">B81</f>
        <v>Š33-Š34</v>
      </c>
    </row>
    <row r="82" spans="1:50" ht="15.75" x14ac:dyDescent="0.25">
      <c r="A82">
        <f t="shared" si="24"/>
        <v>46</v>
      </c>
      <c r="B82" s="84" t="s">
        <v>268</v>
      </c>
      <c r="C82" s="192">
        <v>16.89</v>
      </c>
      <c r="D82" s="25">
        <f t="shared" si="178"/>
        <v>17.47</v>
      </c>
      <c r="E82" s="237" t="s">
        <v>189</v>
      </c>
      <c r="F82" s="113"/>
      <c r="G82" s="113">
        <f t="shared" si="179"/>
        <v>0.9</v>
      </c>
      <c r="H82" s="28"/>
      <c r="I82" s="27">
        <f t="shared" si="180"/>
        <v>0</v>
      </c>
      <c r="J82" s="118"/>
      <c r="K82" s="113">
        <f t="shared" si="51"/>
        <v>0</v>
      </c>
      <c r="L82" s="28"/>
      <c r="M82" s="27">
        <f t="shared" si="69"/>
        <v>0</v>
      </c>
      <c r="N82" s="28">
        <v>1</v>
      </c>
      <c r="O82" s="72">
        <v>2</v>
      </c>
      <c r="P82" s="72">
        <f t="shared" si="120"/>
        <v>2</v>
      </c>
      <c r="Q82" s="27">
        <f t="shared" si="181"/>
        <v>36</v>
      </c>
      <c r="R82" s="157" t="s">
        <v>184</v>
      </c>
      <c r="S82" s="73">
        <f t="shared" si="177"/>
        <v>0.43855</v>
      </c>
      <c r="T82" s="25">
        <f t="shared" si="182"/>
        <v>7.4071094999999998</v>
      </c>
      <c r="U82" s="235" t="s">
        <v>183</v>
      </c>
      <c r="V82" s="25">
        <f t="shared" si="12"/>
        <v>0</v>
      </c>
      <c r="W82" s="25">
        <f t="shared" si="183"/>
        <v>0</v>
      </c>
      <c r="X82" s="25">
        <f t="shared" si="32"/>
        <v>1.7000000000000002</v>
      </c>
      <c r="Y82" s="29">
        <f t="shared" si="184"/>
        <v>2.8713000000000006</v>
      </c>
      <c r="Z82" s="160"/>
      <c r="AA82" s="279" t="s">
        <v>183</v>
      </c>
      <c r="AB82" s="76">
        <f t="shared" si="13"/>
        <v>0</v>
      </c>
      <c r="AC82" s="279" t="s">
        <v>183</v>
      </c>
      <c r="AD82" s="161">
        <f t="shared" si="14"/>
        <v>0</v>
      </c>
      <c r="AE82" s="163">
        <f t="shared" si="185"/>
        <v>28.713000000000005</v>
      </c>
      <c r="AF82" s="76">
        <f t="shared" si="16"/>
        <v>0</v>
      </c>
      <c r="AG82" s="161">
        <f t="shared" si="17"/>
        <v>0</v>
      </c>
      <c r="AH82" s="235" t="s">
        <v>183</v>
      </c>
      <c r="AI82" s="167">
        <f t="shared" si="18"/>
        <v>0</v>
      </c>
      <c r="AJ82" s="174">
        <f t="shared" si="186"/>
        <v>0</v>
      </c>
      <c r="AK82" s="167" t="str">
        <f t="shared" si="187"/>
        <v>nástupiště</v>
      </c>
      <c r="AL82" s="167">
        <f t="shared" si="0"/>
        <v>0.35</v>
      </c>
      <c r="AM82" s="167">
        <f t="shared" si="1"/>
        <v>3.0273750000000001</v>
      </c>
      <c r="AN82" s="167">
        <f t="shared" si="21"/>
        <v>51.132363750000003</v>
      </c>
      <c r="AO82" s="167">
        <f t="shared" si="90"/>
        <v>2.3573750000000002</v>
      </c>
      <c r="AP82" s="167">
        <f t="shared" si="188"/>
        <v>39.816063750000005</v>
      </c>
      <c r="AQ82" s="157"/>
      <c r="AR82" s="285">
        <f t="shared" si="22"/>
        <v>0</v>
      </c>
      <c r="AS82" s="285">
        <f t="shared" si="23"/>
        <v>0</v>
      </c>
      <c r="AT82" s="284" t="s">
        <v>184</v>
      </c>
      <c r="AU82" s="285">
        <f t="shared" si="136"/>
        <v>62.155200000000001</v>
      </c>
      <c r="AV82" s="184"/>
      <c r="AW82" s="186"/>
      <c r="AX82" t="str">
        <f t="shared" si="189"/>
        <v>Š34-Š35</v>
      </c>
    </row>
    <row r="83" spans="1:50" ht="15.75" x14ac:dyDescent="0.25">
      <c r="A83">
        <f t="shared" si="24"/>
        <v>47</v>
      </c>
      <c r="B83" s="84" t="s">
        <v>240</v>
      </c>
      <c r="C83" s="192">
        <v>21.26</v>
      </c>
      <c r="D83" s="25">
        <f t="shared" si="178"/>
        <v>21.84</v>
      </c>
      <c r="E83" s="237" t="s">
        <v>189</v>
      </c>
      <c r="F83" s="113"/>
      <c r="G83" s="113">
        <f t="shared" si="179"/>
        <v>0.9</v>
      </c>
      <c r="H83" s="28"/>
      <c r="I83" s="27">
        <f t="shared" si="180"/>
        <v>0</v>
      </c>
      <c r="J83" s="118"/>
      <c r="K83" s="113">
        <f t="shared" si="51"/>
        <v>0</v>
      </c>
      <c r="L83" s="28"/>
      <c r="M83" s="27">
        <f t="shared" si="69"/>
        <v>0</v>
      </c>
      <c r="N83" s="28">
        <v>1</v>
      </c>
      <c r="O83" s="72">
        <v>2</v>
      </c>
      <c r="P83" s="72">
        <f t="shared" si="120"/>
        <v>2</v>
      </c>
      <c r="Q83" s="27">
        <f t="shared" si="181"/>
        <v>44</v>
      </c>
      <c r="R83" s="157" t="s">
        <v>184</v>
      </c>
      <c r="S83" s="73">
        <f t="shared" si="177"/>
        <v>0.43855</v>
      </c>
      <c r="T83" s="25">
        <f t="shared" si="182"/>
        <v>9.3235730000000014</v>
      </c>
      <c r="U83" s="235" t="s">
        <v>183</v>
      </c>
      <c r="V83" s="25">
        <f t="shared" si="12"/>
        <v>0</v>
      </c>
      <c r="W83" s="25">
        <f t="shared" si="183"/>
        <v>0</v>
      </c>
      <c r="X83" s="25">
        <f t="shared" si="32"/>
        <v>1.7000000000000002</v>
      </c>
      <c r="Y83" s="29">
        <f t="shared" si="184"/>
        <v>3.6142000000000003</v>
      </c>
      <c r="Z83" s="160"/>
      <c r="AA83" s="279" t="s">
        <v>183</v>
      </c>
      <c r="AB83" s="76">
        <f t="shared" si="13"/>
        <v>0</v>
      </c>
      <c r="AC83" s="279" t="s">
        <v>183</v>
      </c>
      <c r="AD83" s="161">
        <f t="shared" si="14"/>
        <v>0</v>
      </c>
      <c r="AE83" s="163">
        <f t="shared" si="185"/>
        <v>36.142000000000003</v>
      </c>
      <c r="AF83" s="76">
        <f t="shared" si="16"/>
        <v>0</v>
      </c>
      <c r="AG83" s="161">
        <f t="shared" si="17"/>
        <v>0</v>
      </c>
      <c r="AH83" s="235" t="s">
        <v>183</v>
      </c>
      <c r="AI83" s="167">
        <f t="shared" si="18"/>
        <v>0</v>
      </c>
      <c r="AJ83" s="174">
        <f t="shared" si="186"/>
        <v>0</v>
      </c>
      <c r="AK83" s="167" t="str">
        <f t="shared" si="187"/>
        <v>nástupiště</v>
      </c>
      <c r="AL83" s="167">
        <f t="shared" si="0"/>
        <v>0.35</v>
      </c>
      <c r="AM83" s="167">
        <f t="shared" si="1"/>
        <v>3.0273750000000001</v>
      </c>
      <c r="AN83" s="167">
        <f t="shared" si="21"/>
        <v>64.361992500000014</v>
      </c>
      <c r="AO83" s="167">
        <f t="shared" si="90"/>
        <v>2.3573750000000002</v>
      </c>
      <c r="AP83" s="167">
        <f t="shared" si="188"/>
        <v>50.117792500000007</v>
      </c>
      <c r="AQ83" s="157"/>
      <c r="AR83" s="285">
        <f t="shared" si="22"/>
        <v>0</v>
      </c>
      <c r="AS83" s="285">
        <f t="shared" si="23"/>
        <v>0</v>
      </c>
      <c r="AT83" s="284" t="s">
        <v>184</v>
      </c>
      <c r="AU83" s="285">
        <f t="shared" si="136"/>
        <v>78.236800000000002</v>
      </c>
      <c r="AV83" s="184"/>
      <c r="AW83" s="186"/>
      <c r="AX83" t="str">
        <f t="shared" si="189"/>
        <v>Š35-Š36</v>
      </c>
    </row>
    <row r="84" spans="1:50" ht="15.75" x14ac:dyDescent="0.25">
      <c r="A84">
        <f t="shared" si="24"/>
        <v>48</v>
      </c>
      <c r="B84" s="84" t="s">
        <v>241</v>
      </c>
      <c r="C84" s="192">
        <v>32.979999999999997</v>
      </c>
      <c r="D84" s="25">
        <f t="shared" si="178"/>
        <v>33.559999999999995</v>
      </c>
      <c r="E84" s="237" t="s">
        <v>189</v>
      </c>
      <c r="F84" s="113"/>
      <c r="G84" s="113">
        <f t="shared" si="179"/>
        <v>0.9</v>
      </c>
      <c r="H84" s="28"/>
      <c r="I84" s="27">
        <f t="shared" si="180"/>
        <v>0</v>
      </c>
      <c r="J84" s="118"/>
      <c r="K84" s="113">
        <f t="shared" si="51"/>
        <v>0</v>
      </c>
      <c r="L84" s="28"/>
      <c r="M84" s="27">
        <f t="shared" si="69"/>
        <v>0</v>
      </c>
      <c r="N84" s="28">
        <v>2</v>
      </c>
      <c r="O84" s="72">
        <v>2</v>
      </c>
      <c r="P84" s="72">
        <v>3</v>
      </c>
      <c r="Q84" s="27">
        <f t="shared" si="181"/>
        <v>102</v>
      </c>
      <c r="R84" s="157" t="s">
        <v>184</v>
      </c>
      <c r="S84" s="73">
        <f t="shared" si="177"/>
        <v>0.61460000000000004</v>
      </c>
      <c r="T84" s="25">
        <f t="shared" si="182"/>
        <v>20.269507999999998</v>
      </c>
      <c r="U84" s="235" t="s">
        <v>183</v>
      </c>
      <c r="V84" s="25">
        <f t="shared" si="12"/>
        <v>0</v>
      </c>
      <c r="W84" s="25">
        <f t="shared" si="183"/>
        <v>0</v>
      </c>
      <c r="X84" s="25">
        <f t="shared" si="32"/>
        <v>2.1</v>
      </c>
      <c r="Y84" s="29">
        <f t="shared" si="184"/>
        <v>6.9257999999999997</v>
      </c>
      <c r="Z84" s="160"/>
      <c r="AA84" s="279" t="s">
        <v>183</v>
      </c>
      <c r="AB84" s="76">
        <f t="shared" si="13"/>
        <v>0</v>
      </c>
      <c r="AC84" s="279" t="s">
        <v>183</v>
      </c>
      <c r="AD84" s="161">
        <f t="shared" si="14"/>
        <v>0</v>
      </c>
      <c r="AE84" s="163">
        <f t="shared" si="185"/>
        <v>69.257999999999996</v>
      </c>
      <c r="AF84" s="76">
        <f t="shared" si="16"/>
        <v>0</v>
      </c>
      <c r="AG84" s="161">
        <f t="shared" si="17"/>
        <v>0</v>
      </c>
      <c r="AH84" s="235" t="s">
        <v>183</v>
      </c>
      <c r="AI84" s="167">
        <f t="shared" si="18"/>
        <v>0</v>
      </c>
      <c r="AJ84" s="174">
        <f t="shared" si="186"/>
        <v>0</v>
      </c>
      <c r="AK84" s="167" t="str">
        <f t="shared" si="187"/>
        <v>nástupiště</v>
      </c>
      <c r="AL84" s="167">
        <f t="shared" si="0"/>
        <v>0.35</v>
      </c>
      <c r="AM84" s="167">
        <f t="shared" si="1"/>
        <v>4.4850000000000003</v>
      </c>
      <c r="AN84" s="167">
        <f t="shared" si="21"/>
        <v>147.9153</v>
      </c>
      <c r="AO84" s="167">
        <f t="shared" si="90"/>
        <v>3.2750000000000004</v>
      </c>
      <c r="AP84" s="167">
        <f t="shared" si="188"/>
        <v>108.0095</v>
      </c>
      <c r="AQ84" s="157"/>
      <c r="AR84" s="285">
        <f t="shared" si="22"/>
        <v>0</v>
      </c>
      <c r="AS84" s="285">
        <f t="shared" si="23"/>
        <v>0</v>
      </c>
      <c r="AT84" s="284" t="s">
        <v>184</v>
      </c>
      <c r="AU84" s="285">
        <f t="shared" si="136"/>
        <v>121.3664</v>
      </c>
      <c r="AV84" s="184"/>
      <c r="AW84" s="186"/>
      <c r="AX84" t="str">
        <f t="shared" si="189"/>
        <v>Š36-Š37</v>
      </c>
    </row>
    <row r="85" spans="1:50" ht="15.75" x14ac:dyDescent="0.25">
      <c r="A85">
        <f t="shared" ref="A85" si="190">IF(B85&gt;0,A84+1,A83+1)</f>
        <v>49</v>
      </c>
      <c r="B85" s="84" t="s">
        <v>273</v>
      </c>
      <c r="C85" s="192">
        <v>7.31</v>
      </c>
      <c r="D85" s="25">
        <f t="shared" si="178"/>
        <v>7.89</v>
      </c>
      <c r="E85" s="237" t="s">
        <v>189</v>
      </c>
      <c r="F85" s="113"/>
      <c r="G85" s="113">
        <f t="shared" si="179"/>
        <v>0.45</v>
      </c>
      <c r="H85" s="28"/>
      <c r="I85" s="27">
        <f t="shared" si="180"/>
        <v>0</v>
      </c>
      <c r="J85" s="118"/>
      <c r="K85" s="113">
        <f t="shared" si="51"/>
        <v>0</v>
      </c>
      <c r="L85" s="28"/>
      <c r="M85" s="27">
        <f t="shared" si="69"/>
        <v>0</v>
      </c>
      <c r="N85" s="28">
        <v>2</v>
      </c>
      <c r="O85" s="72">
        <v>1</v>
      </c>
      <c r="P85" s="72">
        <f t="shared" ref="P85" si="191">N85*O85</f>
        <v>2</v>
      </c>
      <c r="Q85" s="27">
        <f t="shared" si="181"/>
        <v>16</v>
      </c>
      <c r="R85" s="157" t="s">
        <v>184</v>
      </c>
      <c r="S85" s="73">
        <f t="shared" si="177"/>
        <v>0.39354999999999996</v>
      </c>
      <c r="T85" s="25">
        <f t="shared" si="182"/>
        <v>2.8768504999999993</v>
      </c>
      <c r="U85" s="235" t="s">
        <v>183</v>
      </c>
      <c r="V85" s="25">
        <f t="shared" si="12"/>
        <v>0</v>
      </c>
      <c r="W85" s="25">
        <f t="shared" si="183"/>
        <v>0</v>
      </c>
      <c r="X85" s="25">
        <f t="shared" si="32"/>
        <v>2.1</v>
      </c>
      <c r="Y85" s="29">
        <f t="shared" si="184"/>
        <v>1.5350999999999999</v>
      </c>
      <c r="Z85" s="160"/>
      <c r="AA85" s="279" t="s">
        <v>183</v>
      </c>
      <c r="AB85" s="76">
        <f t="shared" si="13"/>
        <v>0</v>
      </c>
      <c r="AC85" s="279" t="s">
        <v>183</v>
      </c>
      <c r="AD85" s="161">
        <f t="shared" si="14"/>
        <v>0</v>
      </c>
      <c r="AE85" s="163">
        <f t="shared" si="185"/>
        <v>15.350999999999999</v>
      </c>
      <c r="AF85" s="76">
        <f t="shared" si="16"/>
        <v>0</v>
      </c>
      <c r="AG85" s="161">
        <f t="shared" si="17"/>
        <v>0</v>
      </c>
      <c r="AH85" s="235" t="s">
        <v>183</v>
      </c>
      <c r="AI85" s="167">
        <f t="shared" si="18"/>
        <v>0</v>
      </c>
      <c r="AJ85" s="174">
        <f t="shared" si="186"/>
        <v>0</v>
      </c>
      <c r="AK85" s="167" t="str">
        <f t="shared" si="187"/>
        <v>nástupiště</v>
      </c>
      <c r="AL85" s="167">
        <f t="shared" si="0"/>
        <v>0.35</v>
      </c>
      <c r="AM85" s="167">
        <f t="shared" si="1"/>
        <v>2.9899999999999993</v>
      </c>
      <c r="AN85" s="167">
        <f t="shared" si="21"/>
        <v>21.856899999999992</v>
      </c>
      <c r="AO85" s="167">
        <f t="shared" si="90"/>
        <v>2.2799999999999994</v>
      </c>
      <c r="AP85" s="167">
        <f t="shared" si="188"/>
        <v>16.666799999999995</v>
      </c>
      <c r="AQ85" s="157"/>
      <c r="AR85" s="285">
        <f t="shared" si="22"/>
        <v>0</v>
      </c>
      <c r="AS85" s="285">
        <f t="shared" si="23"/>
        <v>0</v>
      </c>
      <c r="AT85" s="284" t="s">
        <v>184</v>
      </c>
      <c r="AU85" s="285">
        <f t="shared" si="136"/>
        <v>15.972349999999999</v>
      </c>
      <c r="AV85" s="184"/>
      <c r="AW85" s="186"/>
      <c r="AX85" t="str">
        <f t="shared" si="189"/>
        <v>Š36-konec</v>
      </c>
    </row>
    <row r="86" spans="1:50" ht="15.75" x14ac:dyDescent="0.25">
      <c r="A86">
        <f>IF(B86&gt;0,A84+1,A83+1)</f>
        <v>49</v>
      </c>
      <c r="B86" s="84" t="s">
        <v>242</v>
      </c>
      <c r="C86" s="192">
        <v>27.93</v>
      </c>
      <c r="D86" s="25">
        <f t="shared" si="178"/>
        <v>28.509999999999998</v>
      </c>
      <c r="E86" s="237" t="s">
        <v>189</v>
      </c>
      <c r="F86" s="113"/>
      <c r="G86" s="113">
        <f t="shared" si="179"/>
        <v>0.9</v>
      </c>
      <c r="H86" s="28"/>
      <c r="I86" s="27">
        <f t="shared" si="180"/>
        <v>0</v>
      </c>
      <c r="J86" s="118"/>
      <c r="K86" s="113">
        <f t="shared" si="51"/>
        <v>0</v>
      </c>
      <c r="L86" s="28"/>
      <c r="M86" s="27">
        <f t="shared" si="69"/>
        <v>0</v>
      </c>
      <c r="N86" s="28">
        <v>2</v>
      </c>
      <c r="O86" s="72">
        <v>2</v>
      </c>
      <c r="P86" s="72">
        <v>3</v>
      </c>
      <c r="Q86" s="27">
        <f t="shared" si="181"/>
        <v>87</v>
      </c>
      <c r="R86" s="157" t="s">
        <v>184</v>
      </c>
      <c r="S86" s="73">
        <f t="shared" si="177"/>
        <v>0.61460000000000004</v>
      </c>
      <c r="T86" s="25">
        <f t="shared" si="182"/>
        <v>17.165778</v>
      </c>
      <c r="U86" s="235" t="s">
        <v>183</v>
      </c>
      <c r="V86" s="25">
        <f t="shared" si="12"/>
        <v>0</v>
      </c>
      <c r="W86" s="25">
        <f t="shared" si="183"/>
        <v>0</v>
      </c>
      <c r="X86" s="25">
        <f t="shared" si="32"/>
        <v>2.1</v>
      </c>
      <c r="Y86" s="29">
        <f t="shared" si="184"/>
        <v>5.8653000000000004</v>
      </c>
      <c r="Z86" s="160"/>
      <c r="AA86" s="279" t="s">
        <v>183</v>
      </c>
      <c r="AB86" s="76">
        <f t="shared" si="13"/>
        <v>0</v>
      </c>
      <c r="AC86" s="279" t="s">
        <v>183</v>
      </c>
      <c r="AD86" s="161">
        <f t="shared" si="14"/>
        <v>0</v>
      </c>
      <c r="AE86" s="163">
        <f t="shared" si="185"/>
        <v>58.652999999999999</v>
      </c>
      <c r="AF86" s="76">
        <f t="shared" si="16"/>
        <v>0</v>
      </c>
      <c r="AG86" s="161">
        <f t="shared" si="17"/>
        <v>0</v>
      </c>
      <c r="AH86" s="235" t="s">
        <v>183</v>
      </c>
      <c r="AI86" s="167">
        <f t="shared" si="18"/>
        <v>0</v>
      </c>
      <c r="AJ86" s="174">
        <f t="shared" si="186"/>
        <v>0</v>
      </c>
      <c r="AK86" s="167" t="str">
        <f t="shared" si="187"/>
        <v>nástupiště</v>
      </c>
      <c r="AL86" s="167">
        <f t="shared" si="0"/>
        <v>0.35</v>
      </c>
      <c r="AM86" s="167">
        <f t="shared" si="1"/>
        <v>4.4850000000000003</v>
      </c>
      <c r="AN86" s="167">
        <f t="shared" si="21"/>
        <v>125.26605000000001</v>
      </c>
      <c r="AO86" s="167">
        <f t="shared" si="90"/>
        <v>3.2750000000000004</v>
      </c>
      <c r="AP86" s="167">
        <f t="shared" si="188"/>
        <v>91.47075000000001</v>
      </c>
      <c r="AQ86" s="157"/>
      <c r="AR86" s="285">
        <f t="shared" si="22"/>
        <v>0</v>
      </c>
      <c r="AS86" s="285">
        <f t="shared" si="23"/>
        <v>0</v>
      </c>
      <c r="AT86" s="284" t="s">
        <v>184</v>
      </c>
      <c r="AU86" s="285">
        <f t="shared" si="136"/>
        <v>102.7824</v>
      </c>
      <c r="AV86" s="184"/>
      <c r="AW86" s="186"/>
      <c r="AX86" t="str">
        <f t="shared" si="189"/>
        <v>Š37-Š38</v>
      </c>
    </row>
    <row r="87" spans="1:50" ht="15.75" x14ac:dyDescent="0.25">
      <c r="A87">
        <f>IF(B87&gt;0,A84+1,A83+1)</f>
        <v>49</v>
      </c>
      <c r="B87" s="84" t="s">
        <v>306</v>
      </c>
      <c r="C87" s="192">
        <v>18.43</v>
      </c>
      <c r="D87" s="25">
        <f t="shared" ref="D87" si="192">IF(C87&gt;0,C87+0.58,0)</f>
        <v>19.009999999999998</v>
      </c>
      <c r="E87" s="237" t="s">
        <v>189</v>
      </c>
      <c r="F87" s="113"/>
      <c r="G87" s="113">
        <f t="shared" ref="G87" si="193">IF(O87&gt;0,O87*0.45+2*Z87,O87*0.45)</f>
        <v>0</v>
      </c>
      <c r="H87" s="28">
        <v>8</v>
      </c>
      <c r="I87" s="27">
        <f t="shared" ref="I87" si="194">IF(C87&gt;0,CEILING(C87+0.58,1)*H87,0)</f>
        <v>160</v>
      </c>
      <c r="J87" s="118"/>
      <c r="K87" s="113">
        <f t="shared" si="51"/>
        <v>0</v>
      </c>
      <c r="L87" s="28"/>
      <c r="M87" s="27">
        <f t="shared" si="69"/>
        <v>0</v>
      </c>
      <c r="N87" s="28"/>
      <c r="O87" s="72"/>
      <c r="P87" s="72">
        <f t="shared" ref="P87" si="195">N87*O87</f>
        <v>0</v>
      </c>
      <c r="Q87" s="27">
        <f t="shared" ref="Q87" si="196">IF(C87&gt;0,CEILING(C87+0.58,1)*P87,0)</f>
        <v>0</v>
      </c>
      <c r="R87" s="157" t="s">
        <v>184</v>
      </c>
      <c r="S87" s="73">
        <f t="shared" si="177"/>
        <v>3.7499999999999999E-2</v>
      </c>
      <c r="T87" s="25">
        <f t="shared" ref="T87" si="197">C87*S87</f>
        <v>0.69112499999999999</v>
      </c>
      <c r="U87" s="235" t="s">
        <v>183</v>
      </c>
      <c r="V87" s="25">
        <f t="shared" si="12"/>
        <v>0</v>
      </c>
      <c r="W87" s="25">
        <f t="shared" ref="W87" si="198">C87*V87</f>
        <v>0</v>
      </c>
      <c r="X87" s="25">
        <f t="shared" si="32"/>
        <v>3.7</v>
      </c>
      <c r="Y87" s="29">
        <f t="shared" ref="Y87" si="199">C87*X87*0.1</f>
        <v>6.8191000000000006</v>
      </c>
      <c r="Z87" s="160"/>
      <c r="AA87" s="279" t="s">
        <v>183</v>
      </c>
      <c r="AB87" s="76">
        <f t="shared" si="13"/>
        <v>0</v>
      </c>
      <c r="AC87" s="279" t="s">
        <v>183</v>
      </c>
      <c r="AD87" s="161">
        <f t="shared" si="14"/>
        <v>0</v>
      </c>
      <c r="AE87" s="163">
        <f t="shared" ref="AE87" si="200">X87*C87</f>
        <v>68.191000000000003</v>
      </c>
      <c r="AF87" s="76">
        <f t="shared" si="16"/>
        <v>0</v>
      </c>
      <c r="AG87" s="161">
        <f t="shared" si="17"/>
        <v>0</v>
      </c>
      <c r="AH87" s="235" t="s">
        <v>183</v>
      </c>
      <c r="AI87" s="167">
        <f t="shared" si="18"/>
        <v>0</v>
      </c>
      <c r="AJ87" s="174">
        <f t="shared" ref="AJ87" si="201">AI87*2</f>
        <v>0</v>
      </c>
      <c r="AK87" s="167" t="str">
        <f t="shared" ref="AK87" si="202">E87</f>
        <v>nástupiště</v>
      </c>
      <c r="AL87" s="167">
        <f t="shared" si="0"/>
        <v>0.35</v>
      </c>
      <c r="AM87" s="167">
        <f t="shared" si="1"/>
        <v>0.68324999999999991</v>
      </c>
      <c r="AN87" s="167">
        <f t="shared" si="21"/>
        <v>12.592297499999999</v>
      </c>
      <c r="AO87" s="167">
        <f t="shared" si="90"/>
        <v>-0.48675000000000024</v>
      </c>
      <c r="AP87" s="167">
        <f t="shared" ref="AP87" si="203">C87*AO87</f>
        <v>-8.9708025000000049</v>
      </c>
      <c r="AQ87" s="157"/>
      <c r="AR87" s="285">
        <f t="shared" si="22"/>
        <v>0</v>
      </c>
      <c r="AS87" s="285">
        <f t="shared" si="23"/>
        <v>0</v>
      </c>
      <c r="AT87" s="284"/>
      <c r="AU87" s="285">
        <f t="shared" si="136"/>
        <v>0</v>
      </c>
      <c r="AV87" s="284" t="s">
        <v>184</v>
      </c>
      <c r="AW87" s="186"/>
      <c r="AX87" t="str">
        <f t="shared" ref="AX87" si="204">B87</f>
        <v>Š38-konec</v>
      </c>
    </row>
    <row r="88" spans="1:50" ht="15.75" x14ac:dyDescent="0.25">
      <c r="A88">
        <f>IF(B88&gt;0,A86+1,A84+1)</f>
        <v>50</v>
      </c>
      <c r="B88" s="84" t="s">
        <v>243</v>
      </c>
      <c r="C88" s="192">
        <v>24.073</v>
      </c>
      <c r="D88" s="25">
        <f t="shared" si="178"/>
        <v>24.652999999999999</v>
      </c>
      <c r="E88" s="237" t="s">
        <v>189</v>
      </c>
      <c r="F88" s="113"/>
      <c r="G88" s="113">
        <f t="shared" si="179"/>
        <v>0.9</v>
      </c>
      <c r="H88" s="28"/>
      <c r="I88" s="27">
        <f t="shared" si="180"/>
        <v>0</v>
      </c>
      <c r="J88" s="118"/>
      <c r="K88" s="113">
        <f t="shared" si="51"/>
        <v>0</v>
      </c>
      <c r="L88" s="28"/>
      <c r="M88" s="27">
        <f t="shared" si="69"/>
        <v>0</v>
      </c>
      <c r="N88" s="28">
        <v>1</v>
      </c>
      <c r="O88" s="72">
        <v>2</v>
      </c>
      <c r="P88" s="72">
        <f t="shared" si="120"/>
        <v>2</v>
      </c>
      <c r="Q88" s="27">
        <f t="shared" si="181"/>
        <v>50</v>
      </c>
      <c r="R88" s="157" t="s">
        <v>184</v>
      </c>
      <c r="S88" s="73">
        <f t="shared" si="177"/>
        <v>0.43855</v>
      </c>
      <c r="T88" s="25">
        <f t="shared" si="182"/>
        <v>10.55721415</v>
      </c>
      <c r="U88" s="235" t="s">
        <v>183</v>
      </c>
      <c r="V88" s="25">
        <f t="shared" si="12"/>
        <v>0</v>
      </c>
      <c r="W88" s="25">
        <f t="shared" si="183"/>
        <v>0</v>
      </c>
      <c r="X88" s="25">
        <f t="shared" si="32"/>
        <v>1.7000000000000002</v>
      </c>
      <c r="Y88" s="29">
        <f t="shared" si="184"/>
        <v>4.0924100000000001</v>
      </c>
      <c r="Z88" s="160"/>
      <c r="AA88" s="279" t="s">
        <v>183</v>
      </c>
      <c r="AB88" s="76">
        <f t="shared" si="13"/>
        <v>0</v>
      </c>
      <c r="AC88" s="279" t="s">
        <v>183</v>
      </c>
      <c r="AD88" s="161">
        <f t="shared" si="14"/>
        <v>0</v>
      </c>
      <c r="AE88" s="163">
        <f t="shared" si="185"/>
        <v>40.924100000000003</v>
      </c>
      <c r="AF88" s="76">
        <f t="shared" si="16"/>
        <v>0</v>
      </c>
      <c r="AG88" s="161">
        <f t="shared" si="17"/>
        <v>0</v>
      </c>
      <c r="AH88" s="235" t="s">
        <v>183</v>
      </c>
      <c r="AI88" s="167">
        <f t="shared" si="18"/>
        <v>0</v>
      </c>
      <c r="AJ88" s="174">
        <f t="shared" si="186"/>
        <v>0</v>
      </c>
      <c r="AK88" s="167" t="str">
        <f t="shared" si="187"/>
        <v>nástupiště</v>
      </c>
      <c r="AL88" s="167">
        <f t="shared" si="0"/>
        <v>0.35</v>
      </c>
      <c r="AM88" s="167">
        <f t="shared" si="1"/>
        <v>3.0273750000000001</v>
      </c>
      <c r="AN88" s="167">
        <f t="shared" si="21"/>
        <v>72.877998375000004</v>
      </c>
      <c r="AO88" s="167">
        <f t="shared" si="90"/>
        <v>2.3573750000000002</v>
      </c>
      <c r="AP88" s="167">
        <f t="shared" si="188"/>
        <v>56.749088375000007</v>
      </c>
      <c r="AQ88" s="157"/>
      <c r="AR88" s="285">
        <f t="shared" si="22"/>
        <v>0</v>
      </c>
      <c r="AS88" s="285">
        <f t="shared" si="23"/>
        <v>0</v>
      </c>
      <c r="AT88" s="284"/>
      <c r="AU88" s="285">
        <f t="shared" si="136"/>
        <v>0</v>
      </c>
      <c r="AV88" s="284" t="s">
        <v>184</v>
      </c>
      <c r="AW88" s="186"/>
      <c r="AX88" t="str">
        <f t="shared" si="189"/>
        <v>Š38-Š39</v>
      </c>
    </row>
    <row r="89" spans="1:50" ht="15.75" x14ac:dyDescent="0.25">
      <c r="A89">
        <f>IF(B89&gt;0,A88+1,A86+1)</f>
        <v>51</v>
      </c>
      <c r="B89" s="84" t="s">
        <v>269</v>
      </c>
      <c r="C89" s="192">
        <v>1.1000000000000001</v>
      </c>
      <c r="D89" s="25">
        <f t="shared" ref="D89:D90" si="205">IF(C89&gt;0,C89+0.58,0)</f>
        <v>1.6800000000000002</v>
      </c>
      <c r="E89" s="237" t="s">
        <v>189</v>
      </c>
      <c r="F89" s="113"/>
      <c r="G89" s="113">
        <f t="shared" ref="G89:G90" si="206">IF(O89&gt;0,O89*0.45+2*Z89,O89*0.45)</f>
        <v>0.45</v>
      </c>
      <c r="H89" s="28">
        <v>9</v>
      </c>
      <c r="I89" s="27">
        <f t="shared" ref="I89:I90" si="207">IF(C89&gt;0,CEILING(C89+0.58,1)*H89,0)</f>
        <v>18</v>
      </c>
      <c r="J89" s="118"/>
      <c r="K89" s="113">
        <f t="shared" si="51"/>
        <v>0</v>
      </c>
      <c r="L89" s="28"/>
      <c r="M89" s="27">
        <f t="shared" si="69"/>
        <v>0</v>
      </c>
      <c r="N89" s="28">
        <v>1</v>
      </c>
      <c r="O89" s="72">
        <v>1</v>
      </c>
      <c r="P89" s="72">
        <f t="shared" si="120"/>
        <v>1</v>
      </c>
      <c r="Q89" s="27">
        <f t="shared" ref="Q89:Q90" si="208">IF(C89&gt;0,CEILING(C89+0.58,1)*P89,0)</f>
        <v>2</v>
      </c>
      <c r="R89" s="157" t="s">
        <v>184</v>
      </c>
      <c r="S89" s="73">
        <f t="shared" si="177"/>
        <v>0.27177499999999999</v>
      </c>
      <c r="T89" s="25">
        <f t="shared" ref="T89:T90" si="209">C89*S89</f>
        <v>0.29895250000000001</v>
      </c>
      <c r="U89" s="235" t="s">
        <v>183</v>
      </c>
      <c r="V89" s="25">
        <f t="shared" si="12"/>
        <v>0</v>
      </c>
      <c r="W89" s="25">
        <f t="shared" ref="W89:W90" si="210">C89*V89</f>
        <v>0</v>
      </c>
      <c r="X89" s="25">
        <f t="shared" si="32"/>
        <v>4.3999999999999995</v>
      </c>
      <c r="Y89" s="29">
        <f t="shared" ref="Y89:Y90" si="211">C89*X89*0.1</f>
        <v>0.48399999999999999</v>
      </c>
      <c r="Z89" s="160"/>
      <c r="AA89" s="279" t="s">
        <v>183</v>
      </c>
      <c r="AB89" s="76">
        <f t="shared" si="13"/>
        <v>0</v>
      </c>
      <c r="AC89" s="279" t="s">
        <v>183</v>
      </c>
      <c r="AD89" s="161">
        <f t="shared" si="14"/>
        <v>0</v>
      </c>
      <c r="AE89" s="163">
        <f t="shared" ref="AE89:AE90" si="212">X89*C89</f>
        <v>4.84</v>
      </c>
      <c r="AF89" s="76">
        <f t="shared" si="16"/>
        <v>0</v>
      </c>
      <c r="AG89" s="161">
        <f t="shared" si="17"/>
        <v>0</v>
      </c>
      <c r="AH89" s="235" t="s">
        <v>183</v>
      </c>
      <c r="AI89" s="167">
        <f t="shared" si="18"/>
        <v>0</v>
      </c>
      <c r="AJ89" s="174">
        <f t="shared" ref="AJ89:AJ90" si="213">AI89*2</f>
        <v>0</v>
      </c>
      <c r="AK89" s="167" t="str">
        <f t="shared" ref="AK89:AK90" si="214">E89</f>
        <v>nástupiště</v>
      </c>
      <c r="AL89" s="167">
        <f t="shared" si="0"/>
        <v>0.35</v>
      </c>
      <c r="AM89" s="167">
        <f t="shared" si="1"/>
        <v>2.1982499999999998</v>
      </c>
      <c r="AN89" s="167">
        <f t="shared" si="21"/>
        <v>2.418075</v>
      </c>
      <c r="AO89" s="167">
        <f t="shared" si="90"/>
        <v>0.60824999999999996</v>
      </c>
      <c r="AP89" s="167">
        <f t="shared" ref="AP89:AP90" si="215">C89*AO89</f>
        <v>0.66907499999999998</v>
      </c>
      <c r="AQ89" s="157"/>
      <c r="AR89" s="285">
        <f t="shared" si="22"/>
        <v>0</v>
      </c>
      <c r="AS89" s="285">
        <f t="shared" si="23"/>
        <v>0</v>
      </c>
      <c r="AT89" s="284"/>
      <c r="AU89" s="285">
        <f t="shared" si="136"/>
        <v>0</v>
      </c>
      <c r="AV89" s="284" t="s">
        <v>184</v>
      </c>
      <c r="AW89" s="186"/>
      <c r="AX89" t="str">
        <f t="shared" ref="AX89:AX90" si="216">B89</f>
        <v>Š39-konec</v>
      </c>
    </row>
    <row r="90" spans="1:50" ht="15.75" x14ac:dyDescent="0.25">
      <c r="A90">
        <f>IF(B90&gt;0,A88+1,A86+1)</f>
        <v>51</v>
      </c>
      <c r="B90" s="84" t="s">
        <v>307</v>
      </c>
      <c r="C90" s="192">
        <v>1</v>
      </c>
      <c r="D90" s="25">
        <f t="shared" si="205"/>
        <v>1.58</v>
      </c>
      <c r="E90" s="237" t="s">
        <v>189</v>
      </c>
      <c r="F90" s="113"/>
      <c r="G90" s="113">
        <f t="shared" si="206"/>
        <v>0.9</v>
      </c>
      <c r="H90" s="28">
        <v>6</v>
      </c>
      <c r="I90" s="27">
        <f t="shared" si="207"/>
        <v>12</v>
      </c>
      <c r="J90" s="118"/>
      <c r="K90" s="113">
        <f t="shared" ref="K90:K91" si="217">IF(C90&gt;0,CEILING(C90+0.58,1)*J90,0)</f>
        <v>0</v>
      </c>
      <c r="L90" s="28"/>
      <c r="M90" s="27">
        <f t="shared" ref="M90:M91" si="218">IF(C90&gt;0,CEILING(C90+0.58,1)*L90,0)</f>
        <v>0</v>
      </c>
      <c r="N90" s="28">
        <v>1</v>
      </c>
      <c r="O90" s="72">
        <v>2</v>
      </c>
      <c r="P90" s="72">
        <f t="shared" ref="P90:P91" si="219">N90*O90</f>
        <v>2</v>
      </c>
      <c r="Q90" s="27">
        <f t="shared" si="208"/>
        <v>4</v>
      </c>
      <c r="R90" s="157" t="s">
        <v>184</v>
      </c>
      <c r="S90" s="73">
        <f t="shared" ref="S90:S91" si="220">IF(R90="ano",(N90*0.45+0.25)*(O90*0.45+0.15)-(N90*0.385)*(O90*0.385),0)</f>
        <v>0.43855</v>
      </c>
      <c r="T90" s="25">
        <f t="shared" si="209"/>
        <v>0.43855</v>
      </c>
      <c r="U90" s="235" t="s">
        <v>183</v>
      </c>
      <c r="V90" s="25">
        <f t="shared" ref="V90:V91" si="221">IF(U90="ano",(N90*0.45+0.45)*(O90*0.45+0.25)-S90,0)</f>
        <v>0</v>
      </c>
      <c r="W90" s="25">
        <f t="shared" si="210"/>
        <v>0</v>
      </c>
      <c r="X90" s="25">
        <f t="shared" ref="X90:X91" si="222">IF(C90&gt;0,H90*0.3+J90*0.4+L90*0.4+N90*0.4+0.5+0.8,0)</f>
        <v>3.5</v>
      </c>
      <c r="Y90" s="29">
        <f t="shared" si="211"/>
        <v>0.35000000000000003</v>
      </c>
      <c r="Z90" s="160"/>
      <c r="AA90" s="279" t="s">
        <v>183</v>
      </c>
      <c r="AB90" s="76">
        <f t="shared" ref="AB90:AB91" si="223">IF(AA90="ano",X90*C90,0)</f>
        <v>0</v>
      </c>
      <c r="AC90" s="279" t="s">
        <v>183</v>
      </c>
      <c r="AD90" s="161">
        <f t="shared" ref="AD90:AD91" si="224">IF(AC90="ano",C90*(0.8*N90+0.4*O90+0.2+0.1),0)</f>
        <v>0</v>
      </c>
      <c r="AE90" s="163">
        <f t="shared" si="212"/>
        <v>3.5</v>
      </c>
      <c r="AF90" s="76">
        <f t="shared" ref="AF90:AF91" si="225">IF(AH90="ano",C90*((N90*0.65+0.3)+(O90*0.65+0.15)*2*1.15),0)</f>
        <v>0</v>
      </c>
      <c r="AG90" s="161">
        <f t="shared" ref="AG90:AG91" si="226">IF(U90="ano",C90*((N90*0.65+0.6)+(O90*0.65+0.3)*2*1.15),0)</f>
        <v>0</v>
      </c>
      <c r="AH90" s="235" t="s">
        <v>183</v>
      </c>
      <c r="AI90" s="167">
        <f t="shared" ref="AI90:AI91" si="227">IF(AH90="ano",C90*((N90*0.65+0.3)+(O90*0.65+0.15)*2*1.15),0)</f>
        <v>0</v>
      </c>
      <c r="AJ90" s="174">
        <f t="shared" si="213"/>
        <v>0</v>
      </c>
      <c r="AK90" s="167" t="str">
        <f t="shared" si="214"/>
        <v>nástupiště</v>
      </c>
      <c r="AL90" s="167">
        <f t="shared" ref="AL90:AL91" si="228">IF(AK90="stezka",1,IF(AK90="Pod kolejemi",1.7,IF(AK90="nástupiště",0.35,0)))</f>
        <v>0.35</v>
      </c>
      <c r="AM90" s="167">
        <f t="shared" ref="AM90:AM91" si="229">IF(AK90="stezka",H90*0.02+J90*0.03+L90*0.06+(N90*0.65+0.7)*(O90*0.65+0.15+0.3+AL90)*1.15,IF(AK90="Pod kolejemi",H90*0.02+J90*0.03+L90*0.06+(N90*0.65+0.7)*(O90*0.65+0.15+0.3+AL90)*1.15,IF(AK90="nástupiště",H90*0.02+J90*0.03+L90*0.06+(N90*0.65+0.7)*(O90*0.65+0.3+AL90)*1.15,0)))</f>
        <v>3.1473750000000003</v>
      </c>
      <c r="AN90" s="167">
        <f t="shared" ref="AN90:AN91" si="230">C90*AM90</f>
        <v>3.1473750000000003</v>
      </c>
      <c r="AO90" s="167">
        <f t="shared" ref="AO90:AO91" si="231">AM90-((H90*0.1+J90*0.16+L90*0.25+(N90*0.5)*(O90*0.5)+X90*0.1))</f>
        <v>1.6973750000000001</v>
      </c>
      <c r="AP90" s="167">
        <f t="shared" si="215"/>
        <v>1.6973750000000001</v>
      </c>
      <c r="AQ90" s="157"/>
      <c r="AR90" s="285">
        <f t="shared" ref="AR90:AR91" si="232">IF(AQ90="ano",(C90*(O90*0.65+0.3)*2*1.15),0)</f>
        <v>0</v>
      </c>
      <c r="AS90" s="285">
        <f t="shared" ref="AS90:AS91" si="233">IF(AQ90="ano",(C90*(O90*0.65+0.3+2.5)*2*1.15),0)</f>
        <v>0</v>
      </c>
      <c r="AT90" s="284"/>
      <c r="AU90" s="285">
        <f t="shared" ref="AU90:AU91" si="234">IF(AT90="ano",(C90*(O90*0.65+0.3)*2*1.15),0)</f>
        <v>0</v>
      </c>
      <c r="AV90" s="284" t="s">
        <v>184</v>
      </c>
      <c r="AW90" s="186"/>
      <c r="AX90" t="str">
        <f t="shared" si="216"/>
        <v>Š39-Š40</v>
      </c>
    </row>
    <row r="91" spans="1:50" ht="15.75" x14ac:dyDescent="0.25">
      <c r="A91">
        <f>IF(B91&gt;0,A90+1,A88+1)</f>
        <v>52</v>
      </c>
      <c r="B91" s="84" t="s">
        <v>270</v>
      </c>
      <c r="C91" s="192">
        <v>1.1000000000000001</v>
      </c>
      <c r="D91" s="25">
        <f t="shared" ref="D91" si="235">IF(C91&gt;0,C91+0.58,0)</f>
        <v>1.6800000000000002</v>
      </c>
      <c r="E91" s="237" t="s">
        <v>189</v>
      </c>
      <c r="F91" s="113"/>
      <c r="G91" s="113">
        <f t="shared" ref="G91" si="236">IF(O91&gt;0,O91*0.45+2*Z91,O91*0.45)</f>
        <v>0.45</v>
      </c>
      <c r="H91" s="28">
        <v>18</v>
      </c>
      <c r="I91" s="27">
        <f t="shared" ref="I91" si="237">IF(C91&gt;0,CEILING(C91+0.58,1)*H91,0)</f>
        <v>36</v>
      </c>
      <c r="J91" s="118"/>
      <c r="K91" s="113">
        <f t="shared" si="217"/>
        <v>0</v>
      </c>
      <c r="L91" s="28"/>
      <c r="M91" s="27">
        <f t="shared" si="218"/>
        <v>0</v>
      </c>
      <c r="N91" s="28">
        <v>1</v>
      </c>
      <c r="O91" s="72">
        <v>1</v>
      </c>
      <c r="P91" s="72">
        <f t="shared" si="219"/>
        <v>1</v>
      </c>
      <c r="Q91" s="27">
        <f t="shared" ref="Q91" si="238">IF(C91&gt;0,CEILING(C91+0.58,1)*P91,0)</f>
        <v>2</v>
      </c>
      <c r="R91" s="157" t="s">
        <v>184</v>
      </c>
      <c r="S91" s="73">
        <f t="shared" si="220"/>
        <v>0.27177499999999999</v>
      </c>
      <c r="T91" s="25">
        <f t="shared" ref="T91" si="239">C91*S91</f>
        <v>0.29895250000000001</v>
      </c>
      <c r="U91" s="235" t="s">
        <v>183</v>
      </c>
      <c r="V91" s="25">
        <f t="shared" si="221"/>
        <v>0</v>
      </c>
      <c r="W91" s="25">
        <f t="shared" ref="W91" si="240">C91*V91</f>
        <v>0</v>
      </c>
      <c r="X91" s="25">
        <f t="shared" si="222"/>
        <v>7.1</v>
      </c>
      <c r="Y91" s="29">
        <f t="shared" ref="Y91" si="241">C91*X91*0.1</f>
        <v>0.78100000000000014</v>
      </c>
      <c r="Z91" s="160"/>
      <c r="AA91" s="279" t="s">
        <v>183</v>
      </c>
      <c r="AB91" s="76">
        <f t="shared" si="223"/>
        <v>0</v>
      </c>
      <c r="AC91" s="279" t="s">
        <v>183</v>
      </c>
      <c r="AD91" s="161">
        <f t="shared" si="224"/>
        <v>0</v>
      </c>
      <c r="AE91" s="163">
        <f t="shared" ref="AE91" si="242">X91*C91</f>
        <v>7.8100000000000005</v>
      </c>
      <c r="AF91" s="76">
        <f t="shared" si="225"/>
        <v>0</v>
      </c>
      <c r="AG91" s="161">
        <f t="shared" si="226"/>
        <v>0</v>
      </c>
      <c r="AH91" s="235" t="s">
        <v>183</v>
      </c>
      <c r="AI91" s="167">
        <f t="shared" si="227"/>
        <v>0</v>
      </c>
      <c r="AJ91" s="174">
        <f t="shared" ref="AJ91" si="243">AI91*2</f>
        <v>0</v>
      </c>
      <c r="AK91" s="167" t="str">
        <f t="shared" ref="AK91" si="244">E91</f>
        <v>nástupiště</v>
      </c>
      <c r="AL91" s="167">
        <f t="shared" si="228"/>
        <v>0.35</v>
      </c>
      <c r="AM91" s="167">
        <f t="shared" si="229"/>
        <v>2.3782499999999995</v>
      </c>
      <c r="AN91" s="167">
        <f t="shared" si="230"/>
        <v>2.6160749999999995</v>
      </c>
      <c r="AO91" s="167">
        <f t="shared" si="231"/>
        <v>-0.38175000000000026</v>
      </c>
      <c r="AP91" s="167">
        <f t="shared" ref="AP91" si="245">C91*AO91</f>
        <v>-0.41992500000000033</v>
      </c>
      <c r="AQ91" s="157"/>
      <c r="AR91" s="285">
        <f t="shared" si="232"/>
        <v>0</v>
      </c>
      <c r="AS91" s="285">
        <f t="shared" si="233"/>
        <v>0</v>
      </c>
      <c r="AT91" s="284"/>
      <c r="AU91" s="285">
        <f t="shared" si="234"/>
        <v>0</v>
      </c>
      <c r="AV91" s="284" t="s">
        <v>184</v>
      </c>
      <c r="AW91" s="186"/>
      <c r="AX91" t="str">
        <f t="shared" ref="AX91" si="246">B91</f>
        <v>Š40-konec</v>
      </c>
    </row>
    <row r="92" spans="1:50" ht="15.75" x14ac:dyDescent="0.25">
      <c r="A92">
        <f>IF(B92&gt;0,A89+1,A88+1)</f>
        <v>52</v>
      </c>
      <c r="B92" s="84" t="s">
        <v>244</v>
      </c>
      <c r="C92" s="192">
        <v>15.214</v>
      </c>
      <c r="D92" s="25">
        <f t="shared" ref="D92:D94" si="247">IF(C92&gt;0,C92+0.58,0)</f>
        <v>15.794</v>
      </c>
      <c r="E92" s="237" t="s">
        <v>189</v>
      </c>
      <c r="F92" s="113"/>
      <c r="G92" s="113">
        <f t="shared" ref="G92:G94" si="248">IF(O92&gt;0,O92*0.45+2*Z92,O92*0.45)</f>
        <v>0.9</v>
      </c>
      <c r="H92" s="28"/>
      <c r="I92" s="27">
        <f t="shared" ref="I92:I94" si="249">IF(C92&gt;0,CEILING(C92+0.58,1)*H92,0)</f>
        <v>0</v>
      </c>
      <c r="J92" s="118"/>
      <c r="K92" s="113">
        <f t="shared" si="51"/>
        <v>0</v>
      </c>
      <c r="L92" s="28"/>
      <c r="M92" s="27">
        <f t="shared" si="69"/>
        <v>0</v>
      </c>
      <c r="N92" s="28">
        <v>1</v>
      </c>
      <c r="O92" s="72">
        <v>2</v>
      </c>
      <c r="P92" s="72">
        <f t="shared" si="120"/>
        <v>2</v>
      </c>
      <c r="Q92" s="27">
        <f t="shared" ref="Q92:Q94" si="250">IF(C92&gt;0,CEILING(C92+0.58,1)*P92,0)</f>
        <v>32</v>
      </c>
      <c r="R92" s="157" t="s">
        <v>184</v>
      </c>
      <c r="S92" s="73">
        <f t="shared" si="177"/>
        <v>0.43855</v>
      </c>
      <c r="T92" s="25">
        <f t="shared" ref="T92:T94" si="251">C92*S92</f>
        <v>6.6720997000000004</v>
      </c>
      <c r="U92" s="235" t="s">
        <v>183</v>
      </c>
      <c r="V92" s="25">
        <f t="shared" si="12"/>
        <v>0</v>
      </c>
      <c r="W92" s="25">
        <f t="shared" ref="W92:W94" si="252">C92*V92</f>
        <v>0</v>
      </c>
      <c r="X92" s="25">
        <f t="shared" si="32"/>
        <v>1.7000000000000002</v>
      </c>
      <c r="Y92" s="29">
        <f t="shared" ref="Y92:Y94" si="253">C92*X92*0.1</f>
        <v>2.5863800000000006</v>
      </c>
      <c r="Z92" s="160"/>
      <c r="AA92" s="279" t="s">
        <v>183</v>
      </c>
      <c r="AB92" s="76">
        <f t="shared" si="13"/>
        <v>0</v>
      </c>
      <c r="AC92" s="279" t="s">
        <v>183</v>
      </c>
      <c r="AD92" s="161">
        <f t="shared" si="14"/>
        <v>0</v>
      </c>
      <c r="AE92" s="163">
        <f t="shared" ref="AE92:AE94" si="254">X92*C92</f>
        <v>25.863800000000005</v>
      </c>
      <c r="AF92" s="76">
        <f t="shared" si="16"/>
        <v>0</v>
      </c>
      <c r="AG92" s="161">
        <f t="shared" si="17"/>
        <v>0</v>
      </c>
      <c r="AH92" s="235" t="s">
        <v>183</v>
      </c>
      <c r="AI92" s="167">
        <f t="shared" si="18"/>
        <v>0</v>
      </c>
      <c r="AJ92" s="174">
        <f t="shared" ref="AJ92:AJ94" si="255">AI92*2</f>
        <v>0</v>
      </c>
      <c r="AK92" s="167" t="str">
        <f t="shared" ref="AK92:AK94" si="256">E92</f>
        <v>nástupiště</v>
      </c>
      <c r="AL92" s="167">
        <f t="shared" si="0"/>
        <v>0.35</v>
      </c>
      <c r="AM92" s="167">
        <f t="shared" si="1"/>
        <v>3.0273750000000001</v>
      </c>
      <c r="AN92" s="167">
        <f t="shared" si="21"/>
        <v>46.058483250000002</v>
      </c>
      <c r="AO92" s="167">
        <f t="shared" si="90"/>
        <v>2.3573750000000002</v>
      </c>
      <c r="AP92" s="167">
        <f t="shared" ref="AP92:AP94" si="257">C92*AO92</f>
        <v>35.865103250000004</v>
      </c>
      <c r="AQ92" s="157"/>
      <c r="AR92" s="285">
        <f t="shared" si="22"/>
        <v>0</v>
      </c>
      <c r="AS92" s="285">
        <f t="shared" si="23"/>
        <v>0</v>
      </c>
      <c r="AT92" s="284" t="s">
        <v>184</v>
      </c>
      <c r="AU92" s="285">
        <f t="shared" si="136"/>
        <v>55.987519999999996</v>
      </c>
      <c r="AV92" s="284"/>
      <c r="AW92" s="186"/>
      <c r="AX92" t="str">
        <f t="shared" ref="AX92:AX94" si="258">B92</f>
        <v>Š40-Š41</v>
      </c>
    </row>
    <row r="93" spans="1:50" ht="15.75" x14ac:dyDescent="0.25">
      <c r="A93">
        <f>IF(B93&gt;0,A92+1,A89+1)</f>
        <v>53</v>
      </c>
      <c r="B93" s="84" t="s">
        <v>308</v>
      </c>
      <c r="C93" s="192">
        <v>12.56</v>
      </c>
      <c r="D93" s="25">
        <f t="shared" si="247"/>
        <v>13.14</v>
      </c>
      <c r="E93" s="237" t="s">
        <v>189</v>
      </c>
      <c r="F93" s="113"/>
      <c r="G93" s="113">
        <f t="shared" si="248"/>
        <v>0.9</v>
      </c>
      <c r="H93" s="28"/>
      <c r="I93" s="27">
        <f t="shared" si="249"/>
        <v>0</v>
      </c>
      <c r="J93" s="118"/>
      <c r="K93" s="113">
        <f t="shared" si="51"/>
        <v>0</v>
      </c>
      <c r="L93" s="28"/>
      <c r="M93" s="27">
        <f t="shared" si="69"/>
        <v>0</v>
      </c>
      <c r="N93" s="28">
        <v>1</v>
      </c>
      <c r="O93" s="72">
        <v>2</v>
      </c>
      <c r="P93" s="72">
        <f t="shared" si="120"/>
        <v>2</v>
      </c>
      <c r="Q93" s="27">
        <f t="shared" si="250"/>
        <v>28</v>
      </c>
      <c r="R93" s="157" t="s">
        <v>184</v>
      </c>
      <c r="S93" s="73">
        <f t="shared" si="177"/>
        <v>0.43855</v>
      </c>
      <c r="T93" s="25">
        <f t="shared" si="251"/>
        <v>5.5081880000000005</v>
      </c>
      <c r="U93" s="235" t="s">
        <v>183</v>
      </c>
      <c r="V93" s="25">
        <f t="shared" si="12"/>
        <v>0</v>
      </c>
      <c r="W93" s="25">
        <f t="shared" si="252"/>
        <v>0</v>
      </c>
      <c r="X93" s="25">
        <f t="shared" si="32"/>
        <v>1.7000000000000002</v>
      </c>
      <c r="Y93" s="29">
        <f t="shared" si="253"/>
        <v>2.1352000000000007</v>
      </c>
      <c r="Z93" s="160"/>
      <c r="AA93" s="279" t="s">
        <v>183</v>
      </c>
      <c r="AB93" s="76">
        <f t="shared" si="13"/>
        <v>0</v>
      </c>
      <c r="AC93" s="279" t="s">
        <v>183</v>
      </c>
      <c r="AD93" s="161">
        <f t="shared" si="14"/>
        <v>0</v>
      </c>
      <c r="AE93" s="163">
        <f t="shared" si="254"/>
        <v>21.352000000000004</v>
      </c>
      <c r="AF93" s="76">
        <f t="shared" si="16"/>
        <v>0</v>
      </c>
      <c r="AG93" s="161">
        <f t="shared" si="17"/>
        <v>0</v>
      </c>
      <c r="AH93" s="235" t="s">
        <v>183</v>
      </c>
      <c r="AI93" s="167">
        <f t="shared" si="18"/>
        <v>0</v>
      </c>
      <c r="AJ93" s="174">
        <f t="shared" si="255"/>
        <v>0</v>
      </c>
      <c r="AK93" s="167" t="str">
        <f t="shared" si="256"/>
        <v>nástupiště</v>
      </c>
      <c r="AL93" s="167">
        <f t="shared" si="0"/>
        <v>0.35</v>
      </c>
      <c r="AM93" s="167">
        <f t="shared" si="1"/>
        <v>3.0273750000000001</v>
      </c>
      <c r="AN93" s="167">
        <f t="shared" si="21"/>
        <v>38.023830000000004</v>
      </c>
      <c r="AO93" s="167">
        <f t="shared" si="90"/>
        <v>2.3573750000000002</v>
      </c>
      <c r="AP93" s="167">
        <f t="shared" si="257"/>
        <v>29.608630000000005</v>
      </c>
      <c r="AQ93" s="157"/>
      <c r="AR93" s="285">
        <f t="shared" si="22"/>
        <v>0</v>
      </c>
      <c r="AS93" s="285">
        <f t="shared" si="23"/>
        <v>0</v>
      </c>
      <c r="AT93" s="284"/>
      <c r="AU93" s="285">
        <f t="shared" si="136"/>
        <v>0</v>
      </c>
      <c r="AV93" s="184" t="s">
        <v>184</v>
      </c>
      <c r="AW93" s="186"/>
      <c r="AX93" t="str">
        <f t="shared" si="258"/>
        <v>Š41-Š41A</v>
      </c>
    </row>
    <row r="94" spans="1:50" ht="15.75" x14ac:dyDescent="0.25">
      <c r="A94">
        <f>IF(B94&gt;0,A93+1,A91+1)</f>
        <v>54</v>
      </c>
      <c r="B94" s="84" t="s">
        <v>309</v>
      </c>
      <c r="C94" s="192">
        <v>2.4929999999999999</v>
      </c>
      <c r="D94" s="25">
        <f t="shared" si="247"/>
        <v>3.073</v>
      </c>
      <c r="E94" s="237" t="s">
        <v>189</v>
      </c>
      <c r="F94" s="113"/>
      <c r="G94" s="113">
        <f t="shared" si="248"/>
        <v>0</v>
      </c>
      <c r="H94" s="28">
        <v>18</v>
      </c>
      <c r="I94" s="27">
        <f t="shared" si="249"/>
        <v>72</v>
      </c>
      <c r="J94" s="118"/>
      <c r="K94" s="113">
        <f t="shared" si="51"/>
        <v>0</v>
      </c>
      <c r="L94" s="28"/>
      <c r="M94" s="27">
        <f t="shared" si="69"/>
        <v>0</v>
      </c>
      <c r="N94" s="28"/>
      <c r="O94" s="72"/>
      <c r="P94" s="72">
        <f t="shared" si="120"/>
        <v>0</v>
      </c>
      <c r="Q94" s="27">
        <f t="shared" si="250"/>
        <v>0</v>
      </c>
      <c r="R94" s="157" t="s">
        <v>184</v>
      </c>
      <c r="S94" s="73">
        <f t="shared" si="177"/>
        <v>3.7499999999999999E-2</v>
      </c>
      <c r="T94" s="25">
        <f t="shared" si="251"/>
        <v>9.3487499999999987E-2</v>
      </c>
      <c r="U94" s="235" t="s">
        <v>183</v>
      </c>
      <c r="V94" s="25">
        <f t="shared" si="12"/>
        <v>0</v>
      </c>
      <c r="W94" s="25">
        <f t="shared" si="252"/>
        <v>0</v>
      </c>
      <c r="X94" s="25">
        <f t="shared" si="32"/>
        <v>6.6999999999999993</v>
      </c>
      <c r="Y94" s="29">
        <f t="shared" si="253"/>
        <v>1.67031</v>
      </c>
      <c r="Z94" s="160"/>
      <c r="AA94" s="279" t="s">
        <v>183</v>
      </c>
      <c r="AB94" s="76">
        <f t="shared" si="13"/>
        <v>0</v>
      </c>
      <c r="AC94" s="279" t="s">
        <v>183</v>
      </c>
      <c r="AD94" s="161">
        <f t="shared" si="14"/>
        <v>0</v>
      </c>
      <c r="AE94" s="163">
        <f t="shared" si="254"/>
        <v>16.703099999999999</v>
      </c>
      <c r="AF94" s="76">
        <f t="shared" si="16"/>
        <v>0</v>
      </c>
      <c r="AG94" s="161">
        <f t="shared" si="17"/>
        <v>0</v>
      </c>
      <c r="AH94" s="235" t="s">
        <v>183</v>
      </c>
      <c r="AI94" s="167">
        <f t="shared" si="18"/>
        <v>0</v>
      </c>
      <c r="AJ94" s="174">
        <f t="shared" si="255"/>
        <v>0</v>
      </c>
      <c r="AK94" s="167" t="str">
        <f t="shared" si="256"/>
        <v>nástupiště</v>
      </c>
      <c r="AL94" s="167">
        <f t="shared" si="0"/>
        <v>0.35</v>
      </c>
      <c r="AM94" s="167">
        <f t="shared" si="1"/>
        <v>0.88324999999999987</v>
      </c>
      <c r="AN94" s="167">
        <f t="shared" si="21"/>
        <v>2.2019422499999997</v>
      </c>
      <c r="AO94" s="167">
        <f t="shared" si="90"/>
        <v>-1.5867499999999999</v>
      </c>
      <c r="AP94" s="167">
        <f t="shared" si="257"/>
        <v>-3.9557677499999997</v>
      </c>
      <c r="AQ94" s="157"/>
      <c r="AR94" s="285">
        <f t="shared" si="22"/>
        <v>0</v>
      </c>
      <c r="AS94" s="285">
        <f t="shared" si="23"/>
        <v>0</v>
      </c>
      <c r="AT94" s="284"/>
      <c r="AU94" s="285">
        <f t="shared" si="136"/>
        <v>0</v>
      </c>
      <c r="AV94" s="284" t="s">
        <v>184</v>
      </c>
      <c r="AW94" s="186"/>
      <c r="AX94" t="str">
        <f t="shared" si="258"/>
        <v>Š41A-konec</v>
      </c>
    </row>
    <row r="95" spans="1:50" ht="15.75" x14ac:dyDescent="0.25">
      <c r="A95">
        <f t="shared" si="24"/>
        <v>54</v>
      </c>
      <c r="B95" s="84"/>
      <c r="C95" s="192"/>
      <c r="D95" s="25"/>
      <c r="E95" s="237"/>
      <c r="F95" s="113"/>
      <c r="G95" s="113"/>
      <c r="H95" s="28"/>
      <c r="I95" s="27"/>
      <c r="J95" s="118"/>
      <c r="K95" s="113">
        <f t="shared" si="51"/>
        <v>0</v>
      </c>
      <c r="L95" s="28"/>
      <c r="M95" s="27">
        <f t="shared" si="69"/>
        <v>0</v>
      </c>
      <c r="N95" s="28"/>
      <c r="O95" s="72"/>
      <c r="P95" s="72">
        <f t="shared" si="120"/>
        <v>0</v>
      </c>
      <c r="Q95" s="27"/>
      <c r="R95" s="157"/>
      <c r="S95" s="73">
        <f t="shared" si="177"/>
        <v>0</v>
      </c>
      <c r="T95" s="25"/>
      <c r="U95" s="235"/>
      <c r="V95" s="25">
        <f t="shared" si="12"/>
        <v>0</v>
      </c>
      <c r="W95" s="25"/>
      <c r="X95" s="25">
        <f t="shared" si="32"/>
        <v>0</v>
      </c>
      <c r="Y95" s="29"/>
      <c r="Z95" s="160"/>
      <c r="AA95" s="279"/>
      <c r="AB95" s="76">
        <f t="shared" si="13"/>
        <v>0</v>
      </c>
      <c r="AC95" s="279"/>
      <c r="AD95" s="161">
        <f t="shared" si="14"/>
        <v>0</v>
      </c>
      <c r="AE95" s="163"/>
      <c r="AF95" s="76">
        <f t="shared" si="16"/>
        <v>0</v>
      </c>
      <c r="AG95" s="161">
        <f t="shared" si="17"/>
        <v>0</v>
      </c>
      <c r="AH95" s="235"/>
      <c r="AI95" s="167">
        <f t="shared" si="18"/>
        <v>0</v>
      </c>
      <c r="AJ95" s="174"/>
      <c r="AK95" s="167"/>
      <c r="AL95" s="167">
        <f t="shared" ref="AL95" si="259">IF(AK95="stezka",1,IF(AK95="Pod kolejemi",1.7,IF(AK95="nástupiště",0.35,0)))</f>
        <v>0</v>
      </c>
      <c r="AM95" s="167">
        <f t="shared" ref="AM95" si="260">IF(AK95="stezka",(N95*0.65+0.7)*(O95*0.65+0.15+0.3+AL95)*1.15,IF(AK95="Pod kolejemi",(N95*0.65+0.7)*(O95*0.65+0.15+0.3+AL95)*1.15,IF(AK95="nástupiště",(N95*0.65+0.7)*(O95*0.65+0.3+AL95)*1.15,0)))</f>
        <v>0</v>
      </c>
      <c r="AN95" s="167">
        <f t="shared" si="21"/>
        <v>0</v>
      </c>
      <c r="AO95" s="167">
        <f t="shared" si="90"/>
        <v>0</v>
      </c>
      <c r="AP95" s="167"/>
      <c r="AQ95" s="157"/>
      <c r="AR95" s="285">
        <f t="shared" si="22"/>
        <v>0</v>
      </c>
      <c r="AS95" s="285">
        <f t="shared" si="23"/>
        <v>0</v>
      </c>
      <c r="AT95" s="284"/>
      <c r="AU95" s="285">
        <f t="shared" ref="AU95" si="261">IF(AT95="ano",(C95*(O95*0.65+0.3)*2*1.15),0)</f>
        <v>0</v>
      </c>
      <c r="AV95" s="184"/>
      <c r="AW95" s="186"/>
    </row>
    <row r="96" spans="1:50" ht="15.75" x14ac:dyDescent="0.25">
      <c r="A96">
        <f t="shared" si="24"/>
        <v>55</v>
      </c>
      <c r="B96" s="84" t="s">
        <v>271</v>
      </c>
      <c r="C96" s="192">
        <v>17.623000000000001</v>
      </c>
      <c r="D96" s="25">
        <f t="shared" ref="D96:D99" si="262">IF(C96&gt;0,C96+0.58,0)</f>
        <v>18.202999999999999</v>
      </c>
      <c r="E96" s="254" t="s">
        <v>245</v>
      </c>
      <c r="F96" s="113"/>
      <c r="G96" s="113">
        <f t="shared" ref="G96:G99" si="263">IF(O96&gt;0,O96*0.45+2*Z96,O96*0.45)</f>
        <v>0.45</v>
      </c>
      <c r="H96" s="28"/>
      <c r="I96" s="27">
        <f t="shared" ref="I96:I99" si="264">IF(C96&gt;0,CEILING(C96+0.58,1)*H96,0)</f>
        <v>0</v>
      </c>
      <c r="J96" s="118"/>
      <c r="K96" s="113">
        <f t="shared" si="51"/>
        <v>0</v>
      </c>
      <c r="L96" s="28"/>
      <c r="M96" s="27">
        <f t="shared" si="69"/>
        <v>0</v>
      </c>
      <c r="N96" s="28">
        <v>2</v>
      </c>
      <c r="O96" s="72">
        <v>1</v>
      </c>
      <c r="P96" s="72">
        <f t="shared" si="120"/>
        <v>2</v>
      </c>
      <c r="Q96" s="27">
        <f t="shared" ref="Q96:Q99" si="265">IF(C96&gt;0,CEILING(C96+0.58,1)*P96,0)</f>
        <v>38</v>
      </c>
      <c r="R96" s="157" t="s">
        <v>184</v>
      </c>
      <c r="S96" s="73">
        <f t="shared" si="177"/>
        <v>0.39354999999999996</v>
      </c>
      <c r="T96" s="25">
        <f t="shared" ref="T96:T99" si="266">C96*S96</f>
        <v>6.9355316499999997</v>
      </c>
      <c r="U96" s="235" t="s">
        <v>183</v>
      </c>
      <c r="V96" s="25">
        <f t="shared" ref="V96:V100" si="267">IF(U96="ano",(N96*0.45+0.45)*(O96*0.45+0.25)-S96,0)</f>
        <v>0</v>
      </c>
      <c r="W96" s="25">
        <f t="shared" ref="W96:W99" si="268">C96*V96</f>
        <v>0</v>
      </c>
      <c r="X96" s="25">
        <f t="shared" ref="X96:X101" si="269">IF(C96&gt;0,H96*0.3+J96*0.4+L96*0.4+N96*0.4+0.5+0.8,0)</f>
        <v>2.1</v>
      </c>
      <c r="Y96" s="29">
        <f t="shared" ref="Y96:Y99" si="270">C96*X96*0.1</f>
        <v>3.7008300000000007</v>
      </c>
      <c r="Z96" s="160"/>
      <c r="AA96" s="279" t="s">
        <v>183</v>
      </c>
      <c r="AB96" s="76">
        <f t="shared" ref="AB96:AB99" si="271">IF(AA96="ano",X96*C96,0)</f>
        <v>0</v>
      </c>
      <c r="AC96" s="279" t="s">
        <v>183</v>
      </c>
      <c r="AD96" s="161">
        <f t="shared" ref="AD96:AD99" si="272">IF(AC96="ano",C96*(0.8*N96+0.4*O96+0.2+0.1),0)</f>
        <v>0</v>
      </c>
      <c r="AE96" s="163">
        <f t="shared" ref="AE96:AE99" si="273">X96*C96</f>
        <v>37.008300000000006</v>
      </c>
      <c r="AF96" s="76">
        <f t="shared" ref="AF96:AF99" si="274">IF(AH96="ano",C96*((N96*0.65+0.3)+(O96*0.65+0.15)*2*1.15),0)</f>
        <v>0</v>
      </c>
      <c r="AG96" s="161">
        <f t="shared" ref="AG96:AG99" si="275">IF(U96="ano",C96*((N96*0.65+0.6)+(O96*0.65+0.3)*2*1.15),0)</f>
        <v>0</v>
      </c>
      <c r="AH96" s="235" t="s">
        <v>183</v>
      </c>
      <c r="AI96" s="167">
        <f t="shared" ref="AI96:AI99" si="276">IF(AH96="ano",C96*((N96*0.65+0.3)+(O96*0.65+0.15)*2*1.15),0)</f>
        <v>0</v>
      </c>
      <c r="AJ96" s="174">
        <f t="shared" ref="AJ96:AJ99" si="277">AI96*2</f>
        <v>0</v>
      </c>
      <c r="AK96" s="167" t="str">
        <f t="shared" ref="AK96:AK99" si="278">E96</f>
        <v>nástupiště - hradby</v>
      </c>
      <c r="AL96" s="167">
        <v>0.5</v>
      </c>
      <c r="AM96" s="167">
        <v>2</v>
      </c>
      <c r="AN96" s="167">
        <f t="shared" ref="AN96:AN99" si="279">C96*AM96</f>
        <v>35.246000000000002</v>
      </c>
      <c r="AO96" s="167">
        <f t="shared" si="90"/>
        <v>1.29</v>
      </c>
      <c r="AP96" s="167">
        <f t="shared" ref="AP96:AP99" si="280">C96*AO96</f>
        <v>22.733670000000004</v>
      </c>
      <c r="AQ96" s="157"/>
      <c r="AR96" s="285">
        <f t="shared" ref="AR96:AR99" si="281">IF(AQ96="ano",(C96*(O96*0.65+0.3)*2*1.15),0)</f>
        <v>0</v>
      </c>
      <c r="AS96" s="285">
        <f t="shared" ref="AS96:AS99" si="282">IF(AQ96="ano",(C96*(O96*0.65+0.3+2.5)*2*1.15),0)</f>
        <v>0</v>
      </c>
      <c r="AT96" s="284" t="s">
        <v>184</v>
      </c>
      <c r="AU96" s="285">
        <f t="shared" ref="AU96:AU99" si="283">IF(AT96="ano",(C96*(O96*0.65+0.3)*2*1.15),0)</f>
        <v>38.506254999999996</v>
      </c>
      <c r="AV96" s="184"/>
      <c r="AW96" s="186"/>
      <c r="AX96" t="str">
        <f t="shared" ref="AX96:AX99" si="284">B96</f>
        <v>Š29-Š42</v>
      </c>
    </row>
    <row r="97" spans="1:50" ht="15.75" x14ac:dyDescent="0.25">
      <c r="A97">
        <f t="shared" si="24"/>
        <v>56</v>
      </c>
      <c r="B97" s="84" t="s">
        <v>169</v>
      </c>
      <c r="C97" s="192">
        <v>12.095000000000001</v>
      </c>
      <c r="D97" s="25">
        <f t="shared" si="262"/>
        <v>12.675000000000001</v>
      </c>
      <c r="E97" s="254" t="s">
        <v>245</v>
      </c>
      <c r="F97" s="113"/>
      <c r="G97" s="113">
        <f t="shared" si="263"/>
        <v>0.45</v>
      </c>
      <c r="H97" s="28"/>
      <c r="I97" s="27">
        <f t="shared" si="264"/>
        <v>0</v>
      </c>
      <c r="J97" s="118"/>
      <c r="K97" s="113">
        <f t="shared" si="51"/>
        <v>0</v>
      </c>
      <c r="L97" s="28"/>
      <c r="M97" s="27">
        <f t="shared" si="69"/>
        <v>0</v>
      </c>
      <c r="N97" s="28">
        <v>2</v>
      </c>
      <c r="O97" s="72">
        <v>1</v>
      </c>
      <c r="P97" s="72">
        <f t="shared" si="120"/>
        <v>2</v>
      </c>
      <c r="Q97" s="27">
        <f t="shared" si="265"/>
        <v>26</v>
      </c>
      <c r="R97" s="157" t="s">
        <v>184</v>
      </c>
      <c r="S97" s="73">
        <f t="shared" si="177"/>
        <v>0.39354999999999996</v>
      </c>
      <c r="T97" s="25">
        <f t="shared" si="266"/>
        <v>4.75998725</v>
      </c>
      <c r="U97" s="235" t="s">
        <v>183</v>
      </c>
      <c r="V97" s="25">
        <f t="shared" si="267"/>
        <v>0</v>
      </c>
      <c r="W97" s="25">
        <f t="shared" si="268"/>
        <v>0</v>
      </c>
      <c r="X97" s="25">
        <f t="shared" si="269"/>
        <v>2.1</v>
      </c>
      <c r="Y97" s="29">
        <f t="shared" si="270"/>
        <v>2.5399500000000006</v>
      </c>
      <c r="Z97" s="160"/>
      <c r="AA97" s="279" t="s">
        <v>183</v>
      </c>
      <c r="AB97" s="76">
        <f t="shared" si="271"/>
        <v>0</v>
      </c>
      <c r="AC97" s="279" t="s">
        <v>183</v>
      </c>
      <c r="AD97" s="161">
        <f t="shared" si="272"/>
        <v>0</v>
      </c>
      <c r="AE97" s="163">
        <f t="shared" si="273"/>
        <v>25.399500000000003</v>
      </c>
      <c r="AF97" s="76">
        <f t="shared" si="274"/>
        <v>0</v>
      </c>
      <c r="AG97" s="161">
        <f t="shared" si="275"/>
        <v>0</v>
      </c>
      <c r="AH97" s="235" t="s">
        <v>183</v>
      </c>
      <c r="AI97" s="167">
        <f t="shared" si="276"/>
        <v>0</v>
      </c>
      <c r="AJ97" s="174">
        <f t="shared" si="277"/>
        <v>0</v>
      </c>
      <c r="AK97" s="167" t="str">
        <f t="shared" si="278"/>
        <v>nástupiště - hradby</v>
      </c>
      <c r="AL97" s="167">
        <v>0.5</v>
      </c>
      <c r="AM97" s="167">
        <v>2</v>
      </c>
      <c r="AN97" s="167">
        <f t="shared" si="279"/>
        <v>24.19</v>
      </c>
      <c r="AO97" s="167">
        <f t="shared" ref="AO97:AO99" si="285">AM97-((H97*0.1+J97*0.16+L97*0.25+(N97*0.5)*(O97*0.5)+X97*0.1))</f>
        <v>1.29</v>
      </c>
      <c r="AP97" s="167">
        <f t="shared" si="280"/>
        <v>15.602550000000001</v>
      </c>
      <c r="AQ97" s="157"/>
      <c r="AR97" s="285">
        <f t="shared" si="281"/>
        <v>0</v>
      </c>
      <c r="AS97" s="285">
        <f t="shared" si="282"/>
        <v>0</v>
      </c>
      <c r="AT97" s="284" t="s">
        <v>184</v>
      </c>
      <c r="AU97" s="285">
        <f t="shared" si="283"/>
        <v>26.427574999999997</v>
      </c>
      <c r="AV97" s="184"/>
      <c r="AW97" s="186"/>
      <c r="AX97" t="str">
        <f t="shared" si="284"/>
        <v>Š42-Š43</v>
      </c>
    </row>
    <row r="98" spans="1:50" ht="15.75" x14ac:dyDescent="0.25">
      <c r="A98">
        <f t="shared" ref="A98:A102" si="286">IF(B98&gt;0,A97+1,A96+1)</f>
        <v>57</v>
      </c>
      <c r="B98" s="84" t="s">
        <v>170</v>
      </c>
      <c r="C98" s="192">
        <v>12.69</v>
      </c>
      <c r="D98" s="25">
        <f t="shared" si="262"/>
        <v>13.27</v>
      </c>
      <c r="E98" s="254" t="s">
        <v>245</v>
      </c>
      <c r="F98" s="113"/>
      <c r="G98" s="113">
        <f t="shared" si="263"/>
        <v>0.45</v>
      </c>
      <c r="H98" s="28"/>
      <c r="I98" s="27">
        <f t="shared" si="264"/>
        <v>0</v>
      </c>
      <c r="J98" s="118"/>
      <c r="K98" s="113">
        <f t="shared" si="51"/>
        <v>0</v>
      </c>
      <c r="L98" s="28"/>
      <c r="M98" s="27">
        <f t="shared" si="69"/>
        <v>0</v>
      </c>
      <c r="N98" s="28">
        <v>2</v>
      </c>
      <c r="O98" s="72">
        <v>1</v>
      </c>
      <c r="P98" s="72">
        <f t="shared" si="120"/>
        <v>2</v>
      </c>
      <c r="Q98" s="27">
        <f t="shared" si="265"/>
        <v>28</v>
      </c>
      <c r="R98" s="157" t="s">
        <v>184</v>
      </c>
      <c r="S98" s="73">
        <f t="shared" si="177"/>
        <v>0.39354999999999996</v>
      </c>
      <c r="T98" s="25">
        <f t="shared" si="266"/>
        <v>4.9941494999999989</v>
      </c>
      <c r="U98" s="235" t="s">
        <v>183</v>
      </c>
      <c r="V98" s="25">
        <f t="shared" si="267"/>
        <v>0</v>
      </c>
      <c r="W98" s="25">
        <f t="shared" si="268"/>
        <v>0</v>
      </c>
      <c r="X98" s="25">
        <f t="shared" si="269"/>
        <v>2.1</v>
      </c>
      <c r="Y98" s="29">
        <f t="shared" si="270"/>
        <v>2.6649000000000003</v>
      </c>
      <c r="Z98" s="160"/>
      <c r="AA98" s="279" t="s">
        <v>183</v>
      </c>
      <c r="AB98" s="76">
        <f t="shared" si="271"/>
        <v>0</v>
      </c>
      <c r="AC98" s="279" t="s">
        <v>183</v>
      </c>
      <c r="AD98" s="161">
        <f t="shared" si="272"/>
        <v>0</v>
      </c>
      <c r="AE98" s="163">
        <f t="shared" si="273"/>
        <v>26.649000000000001</v>
      </c>
      <c r="AF98" s="76">
        <f t="shared" si="274"/>
        <v>0</v>
      </c>
      <c r="AG98" s="161">
        <f t="shared" si="275"/>
        <v>0</v>
      </c>
      <c r="AH98" s="235" t="s">
        <v>183</v>
      </c>
      <c r="AI98" s="167">
        <f t="shared" si="276"/>
        <v>0</v>
      </c>
      <c r="AJ98" s="174">
        <f t="shared" si="277"/>
        <v>0</v>
      </c>
      <c r="AK98" s="167" t="str">
        <f t="shared" si="278"/>
        <v>nástupiště - hradby</v>
      </c>
      <c r="AL98" s="167">
        <v>0.5</v>
      </c>
      <c r="AM98" s="167">
        <v>2</v>
      </c>
      <c r="AN98" s="167">
        <f t="shared" si="279"/>
        <v>25.38</v>
      </c>
      <c r="AO98" s="167">
        <f t="shared" si="285"/>
        <v>1.29</v>
      </c>
      <c r="AP98" s="167">
        <f t="shared" si="280"/>
        <v>16.370100000000001</v>
      </c>
      <c r="AQ98" s="157"/>
      <c r="AR98" s="285">
        <f t="shared" si="281"/>
        <v>0</v>
      </c>
      <c r="AS98" s="285">
        <f t="shared" si="282"/>
        <v>0</v>
      </c>
      <c r="AT98" s="284" t="s">
        <v>184</v>
      </c>
      <c r="AU98" s="285">
        <f t="shared" si="283"/>
        <v>27.727649999999993</v>
      </c>
      <c r="AV98" s="184"/>
      <c r="AW98" s="186"/>
      <c r="AX98" t="str">
        <f t="shared" si="284"/>
        <v>Š43-Š44</v>
      </c>
    </row>
    <row r="99" spans="1:50" ht="15.75" x14ac:dyDescent="0.25">
      <c r="A99">
        <f t="shared" si="286"/>
        <v>58</v>
      </c>
      <c r="B99" s="84" t="s">
        <v>272</v>
      </c>
      <c r="C99" s="192">
        <v>7.3689999999999998</v>
      </c>
      <c r="D99" s="25">
        <f t="shared" si="262"/>
        <v>7.9489999999999998</v>
      </c>
      <c r="E99" s="254" t="s">
        <v>245</v>
      </c>
      <c r="F99" s="113"/>
      <c r="G99" s="113">
        <f t="shared" si="263"/>
        <v>0.45</v>
      </c>
      <c r="H99" s="28"/>
      <c r="I99" s="27">
        <f t="shared" si="264"/>
        <v>0</v>
      </c>
      <c r="J99" s="118"/>
      <c r="K99" s="113">
        <f t="shared" si="51"/>
        <v>0</v>
      </c>
      <c r="L99" s="28"/>
      <c r="M99" s="27">
        <f t="shared" si="69"/>
        <v>0</v>
      </c>
      <c r="N99" s="28">
        <v>2</v>
      </c>
      <c r="O99" s="72">
        <v>1</v>
      </c>
      <c r="P99" s="72">
        <f t="shared" si="120"/>
        <v>2</v>
      </c>
      <c r="Q99" s="27">
        <f t="shared" si="265"/>
        <v>16</v>
      </c>
      <c r="R99" s="157" t="s">
        <v>184</v>
      </c>
      <c r="S99" s="73">
        <f t="shared" si="177"/>
        <v>0.39354999999999996</v>
      </c>
      <c r="T99" s="25">
        <f t="shared" si="266"/>
        <v>2.9000699499999998</v>
      </c>
      <c r="U99" s="235" t="s">
        <v>183</v>
      </c>
      <c r="V99" s="25">
        <f t="shared" si="267"/>
        <v>0</v>
      </c>
      <c r="W99" s="25">
        <f t="shared" si="268"/>
        <v>0</v>
      </c>
      <c r="X99" s="25">
        <f t="shared" si="269"/>
        <v>2.1</v>
      </c>
      <c r="Y99" s="29">
        <f t="shared" si="270"/>
        <v>1.54749</v>
      </c>
      <c r="Z99" s="160"/>
      <c r="AA99" s="279" t="s">
        <v>183</v>
      </c>
      <c r="AB99" s="76">
        <f t="shared" si="271"/>
        <v>0</v>
      </c>
      <c r="AC99" s="279" t="s">
        <v>183</v>
      </c>
      <c r="AD99" s="161">
        <f t="shared" si="272"/>
        <v>0</v>
      </c>
      <c r="AE99" s="163">
        <f t="shared" si="273"/>
        <v>15.4749</v>
      </c>
      <c r="AF99" s="76">
        <f t="shared" si="274"/>
        <v>0</v>
      </c>
      <c r="AG99" s="161">
        <f t="shared" si="275"/>
        <v>0</v>
      </c>
      <c r="AH99" s="235" t="s">
        <v>183</v>
      </c>
      <c r="AI99" s="167">
        <f t="shared" si="276"/>
        <v>0</v>
      </c>
      <c r="AJ99" s="174">
        <f t="shared" si="277"/>
        <v>0</v>
      </c>
      <c r="AK99" s="167" t="str">
        <f t="shared" si="278"/>
        <v>nástupiště - hradby</v>
      </c>
      <c r="AL99" s="167">
        <v>0.5</v>
      </c>
      <c r="AM99" s="167">
        <v>2</v>
      </c>
      <c r="AN99" s="167">
        <f t="shared" si="279"/>
        <v>14.738</v>
      </c>
      <c r="AO99" s="167">
        <f t="shared" si="285"/>
        <v>1.29</v>
      </c>
      <c r="AP99" s="167">
        <f t="shared" si="280"/>
        <v>9.5060099999999998</v>
      </c>
      <c r="AQ99" s="157"/>
      <c r="AR99" s="285">
        <f t="shared" si="281"/>
        <v>0</v>
      </c>
      <c r="AS99" s="285">
        <f t="shared" si="282"/>
        <v>0</v>
      </c>
      <c r="AT99" s="284" t="s">
        <v>184</v>
      </c>
      <c r="AU99" s="285">
        <f t="shared" si="283"/>
        <v>16.101264999999998</v>
      </c>
      <c r="AV99" s="184"/>
      <c r="AW99" s="186"/>
      <c r="AX99" t="str">
        <f t="shared" si="284"/>
        <v>Š44-Š45</v>
      </c>
    </row>
    <row r="100" spans="1:50" ht="15.75" x14ac:dyDescent="0.25">
      <c r="A100">
        <f t="shared" si="286"/>
        <v>58</v>
      </c>
      <c r="B100" s="84"/>
      <c r="C100" s="192"/>
      <c r="D100" s="25"/>
      <c r="E100" s="237"/>
      <c r="F100" s="113"/>
      <c r="G100" s="113"/>
      <c r="H100" s="28"/>
      <c r="I100" s="27"/>
      <c r="J100" s="118"/>
      <c r="K100" s="113">
        <f t="shared" si="51"/>
        <v>0</v>
      </c>
      <c r="L100" s="28"/>
      <c r="M100" s="27">
        <f t="shared" si="69"/>
        <v>0</v>
      </c>
      <c r="N100" s="28"/>
      <c r="O100" s="72"/>
      <c r="P100" s="72">
        <f t="shared" si="120"/>
        <v>0</v>
      </c>
      <c r="Q100" s="27"/>
      <c r="R100" s="157"/>
      <c r="S100" s="73">
        <f t="shared" ref="S100" si="287">IF(R100="ano",(N100+0.25)*(O100+0.25)-N100*O100,0)</f>
        <v>0</v>
      </c>
      <c r="T100" s="25"/>
      <c r="U100" s="235"/>
      <c r="V100" s="25">
        <f t="shared" si="267"/>
        <v>0</v>
      </c>
      <c r="W100" s="25"/>
      <c r="X100" s="25">
        <f t="shared" si="269"/>
        <v>0</v>
      </c>
      <c r="Y100" s="29"/>
      <c r="Z100" s="160"/>
      <c r="AA100" s="279"/>
      <c r="AB100" s="76"/>
      <c r="AC100" s="281"/>
      <c r="AD100" s="161"/>
      <c r="AE100" s="163"/>
      <c r="AF100" s="76"/>
      <c r="AG100" s="161"/>
      <c r="AH100" s="173"/>
      <c r="AI100" s="167"/>
      <c r="AJ100" s="174"/>
      <c r="AK100" s="167"/>
      <c r="AL100" s="167"/>
      <c r="AM100" s="167"/>
      <c r="AN100" s="167"/>
      <c r="AO100" s="167"/>
      <c r="AP100" s="167"/>
      <c r="AQ100" s="157"/>
      <c r="AR100" s="284"/>
      <c r="AS100" s="284"/>
      <c r="AT100" s="284"/>
      <c r="AU100" s="284"/>
      <c r="AV100" s="184"/>
      <c r="AW100" s="186"/>
    </row>
    <row r="101" spans="1:50" ht="15.75" x14ac:dyDescent="0.25">
      <c r="A101">
        <f t="shared" si="286"/>
        <v>59</v>
      </c>
      <c r="B101" s="84"/>
      <c r="C101" s="192"/>
      <c r="D101" s="25"/>
      <c r="E101" s="237"/>
      <c r="F101" s="113"/>
      <c r="G101" s="113"/>
      <c r="H101" s="28"/>
      <c r="I101" s="27"/>
      <c r="J101" s="118"/>
      <c r="K101" s="113"/>
      <c r="L101" s="28"/>
      <c r="M101" s="27"/>
      <c r="N101" s="28"/>
      <c r="O101" s="72"/>
      <c r="P101" s="72"/>
      <c r="Q101" s="27"/>
      <c r="R101" s="157"/>
      <c r="S101" s="73"/>
      <c r="T101" s="25"/>
      <c r="U101" s="235"/>
      <c r="V101" s="25"/>
      <c r="W101" s="25"/>
      <c r="X101" s="25">
        <f t="shared" si="269"/>
        <v>0</v>
      </c>
      <c r="Y101" s="29"/>
      <c r="Z101" s="160"/>
      <c r="AA101" s="279"/>
      <c r="AB101" s="76"/>
      <c r="AC101" s="281"/>
      <c r="AD101" s="161"/>
      <c r="AE101" s="163"/>
      <c r="AF101" s="76"/>
      <c r="AG101" s="161"/>
      <c r="AH101" s="173"/>
      <c r="AI101" s="167"/>
      <c r="AJ101" s="174"/>
      <c r="AK101" s="167"/>
      <c r="AL101" s="167"/>
      <c r="AM101" s="167"/>
      <c r="AN101" s="167"/>
      <c r="AO101" s="167"/>
      <c r="AP101" s="167"/>
      <c r="AQ101" s="157"/>
      <c r="AR101" s="284"/>
      <c r="AS101" s="284"/>
      <c r="AT101" s="284"/>
      <c r="AU101" s="284"/>
      <c r="AV101" s="184"/>
      <c r="AW101" s="186"/>
    </row>
    <row r="102" spans="1:50" ht="15.75" x14ac:dyDescent="0.25">
      <c r="A102">
        <f t="shared" si="286"/>
        <v>59</v>
      </c>
      <c r="B102" s="84"/>
      <c r="C102" s="192"/>
      <c r="D102" s="25"/>
      <c r="E102" s="72"/>
      <c r="F102" s="113"/>
      <c r="G102" s="113"/>
      <c r="H102" s="28"/>
      <c r="I102" s="27"/>
      <c r="J102" s="118"/>
      <c r="K102" s="113"/>
      <c r="L102" s="28"/>
      <c r="M102" s="27"/>
      <c r="N102" s="28"/>
      <c r="O102" s="72"/>
      <c r="P102" s="72"/>
      <c r="Q102" s="27"/>
      <c r="R102" s="157"/>
      <c r="S102" s="73"/>
      <c r="T102" s="25"/>
      <c r="U102" s="235"/>
      <c r="V102" s="25"/>
      <c r="W102" s="25"/>
      <c r="X102" s="25"/>
      <c r="Y102" s="29"/>
      <c r="Z102" s="160"/>
      <c r="AA102" s="279"/>
      <c r="AB102" s="76"/>
      <c r="AC102" s="281"/>
      <c r="AD102" s="161"/>
      <c r="AE102" s="163"/>
      <c r="AF102" s="76"/>
      <c r="AG102" s="161"/>
      <c r="AH102" s="173"/>
      <c r="AI102" s="167"/>
      <c r="AJ102" s="174"/>
      <c r="AK102" s="167"/>
      <c r="AL102" s="167"/>
      <c r="AM102" s="167"/>
      <c r="AN102" s="167"/>
      <c r="AO102" s="167"/>
      <c r="AP102" s="167"/>
      <c r="AQ102" s="157"/>
      <c r="AR102" s="284"/>
      <c r="AS102" s="284"/>
      <c r="AT102" s="284"/>
      <c r="AU102" s="284"/>
      <c r="AV102" s="184"/>
      <c r="AW102" s="186"/>
    </row>
    <row r="103" spans="1:50" ht="15.75" x14ac:dyDescent="0.25">
      <c r="B103" s="84"/>
      <c r="C103" s="192"/>
      <c r="D103" s="25"/>
      <c r="E103" s="237"/>
      <c r="F103" s="113"/>
      <c r="G103" s="113"/>
      <c r="H103" s="224"/>
      <c r="I103" s="27"/>
      <c r="J103" s="118"/>
      <c r="K103" s="113"/>
      <c r="L103" s="28"/>
      <c r="M103" s="27"/>
      <c r="N103" s="28"/>
      <c r="O103" s="72"/>
      <c r="P103" s="72"/>
      <c r="Q103" s="27"/>
      <c r="R103" s="157"/>
      <c r="S103" s="73"/>
      <c r="T103" s="25"/>
      <c r="U103" s="235"/>
      <c r="V103" s="25"/>
      <c r="W103" s="25"/>
      <c r="X103" s="25"/>
      <c r="Y103" s="29"/>
      <c r="Z103" s="160"/>
      <c r="AA103" s="279"/>
      <c r="AB103" s="76"/>
      <c r="AC103" s="281"/>
      <c r="AD103" s="161"/>
      <c r="AE103" s="163"/>
      <c r="AF103" s="76"/>
      <c r="AG103" s="161"/>
      <c r="AH103" s="173"/>
      <c r="AI103" s="167"/>
      <c r="AJ103" s="174"/>
      <c r="AK103" s="167"/>
      <c r="AL103" s="167"/>
      <c r="AM103" s="167"/>
      <c r="AN103" s="167"/>
      <c r="AO103" s="167"/>
      <c r="AP103" s="167"/>
      <c r="AQ103" s="157"/>
      <c r="AR103" s="284"/>
      <c r="AS103" s="284"/>
      <c r="AT103" s="284"/>
      <c r="AU103" s="284"/>
      <c r="AV103" s="184"/>
      <c r="AW103" s="186"/>
    </row>
    <row r="104" spans="1:50" ht="15.75" x14ac:dyDescent="0.25">
      <c r="B104" s="84"/>
      <c r="C104" s="192"/>
      <c r="D104" s="25"/>
      <c r="E104" s="237"/>
      <c r="F104" s="113"/>
      <c r="G104" s="113"/>
      <c r="H104" s="28"/>
      <c r="I104" s="27"/>
      <c r="J104" s="118"/>
      <c r="K104" s="113"/>
      <c r="L104" s="28"/>
      <c r="M104" s="27"/>
      <c r="N104" s="28"/>
      <c r="O104" s="72"/>
      <c r="P104" s="72"/>
      <c r="Q104" s="27"/>
      <c r="R104" s="157"/>
      <c r="S104" s="73"/>
      <c r="T104" s="25"/>
      <c r="U104" s="235"/>
      <c r="V104" s="25"/>
      <c r="W104" s="25"/>
      <c r="X104" s="25"/>
      <c r="Y104" s="29"/>
      <c r="Z104" s="160"/>
      <c r="AA104" s="279"/>
      <c r="AB104" s="76"/>
      <c r="AC104" s="281"/>
      <c r="AD104" s="161"/>
      <c r="AE104" s="163"/>
      <c r="AF104" s="76"/>
      <c r="AG104" s="161"/>
      <c r="AH104" s="173"/>
      <c r="AI104" s="167"/>
      <c r="AJ104" s="174"/>
      <c r="AK104" s="167"/>
      <c r="AL104" s="167"/>
      <c r="AM104" s="167"/>
      <c r="AN104" s="167"/>
      <c r="AO104" s="167"/>
      <c r="AP104" s="167"/>
      <c r="AQ104" s="157"/>
      <c r="AR104" s="284"/>
      <c r="AS104" s="284"/>
      <c r="AT104" s="284"/>
      <c r="AU104" s="284"/>
      <c r="AV104" s="184"/>
      <c r="AW104" s="186"/>
    </row>
    <row r="105" spans="1:50" ht="15.75" x14ac:dyDescent="0.25">
      <c r="B105" s="84"/>
      <c r="C105" s="192"/>
      <c r="D105" s="25"/>
      <c r="E105" s="237"/>
      <c r="F105" s="113"/>
      <c r="G105" s="113"/>
      <c r="H105" s="28"/>
      <c r="I105" s="27"/>
      <c r="J105" s="118"/>
      <c r="K105" s="113"/>
      <c r="L105" s="28"/>
      <c r="M105" s="27"/>
      <c r="N105" s="28"/>
      <c r="O105" s="72"/>
      <c r="P105" s="72"/>
      <c r="Q105" s="27"/>
      <c r="R105" s="157"/>
      <c r="S105" s="73"/>
      <c r="T105" s="25"/>
      <c r="U105" s="235"/>
      <c r="V105" s="25"/>
      <c r="W105" s="25"/>
      <c r="X105" s="25"/>
      <c r="Y105" s="29"/>
      <c r="Z105" s="160"/>
      <c r="AA105" s="279"/>
      <c r="AB105" s="76"/>
      <c r="AC105" s="281"/>
      <c r="AD105" s="161"/>
      <c r="AE105" s="163"/>
      <c r="AF105" s="76"/>
      <c r="AG105" s="161"/>
      <c r="AH105" s="173"/>
      <c r="AI105" s="167"/>
      <c r="AJ105" s="174"/>
      <c r="AK105" s="167"/>
      <c r="AL105" s="167"/>
      <c r="AM105" s="167"/>
      <c r="AN105" s="167"/>
      <c r="AO105" s="167"/>
      <c r="AP105" s="167"/>
      <c r="AQ105" s="157"/>
      <c r="AR105" s="284"/>
      <c r="AS105" s="284"/>
      <c r="AT105" s="284"/>
      <c r="AU105" s="284"/>
      <c r="AV105" s="184"/>
      <c r="AW105" s="186"/>
    </row>
    <row r="106" spans="1:50" ht="15.75" x14ac:dyDescent="0.25">
      <c r="B106" s="84"/>
      <c r="C106" s="192"/>
      <c r="D106" s="25"/>
      <c r="E106" s="237"/>
      <c r="F106" s="113"/>
      <c r="G106" s="113"/>
      <c r="H106" s="28"/>
      <c r="I106" s="27"/>
      <c r="J106" s="118"/>
      <c r="K106" s="113"/>
      <c r="L106" s="28"/>
      <c r="M106" s="27"/>
      <c r="N106" s="28"/>
      <c r="O106" s="72"/>
      <c r="P106" s="72"/>
      <c r="Q106" s="27"/>
      <c r="R106" s="157"/>
      <c r="S106" s="73"/>
      <c r="T106" s="25"/>
      <c r="U106" s="235"/>
      <c r="V106" s="25"/>
      <c r="W106" s="25"/>
      <c r="X106" s="25"/>
      <c r="Y106" s="29"/>
      <c r="Z106" s="160"/>
      <c r="AA106" s="279"/>
      <c r="AB106" s="76"/>
      <c r="AC106" s="281"/>
      <c r="AD106" s="161"/>
      <c r="AE106" s="163"/>
      <c r="AF106" s="76"/>
      <c r="AG106" s="161"/>
      <c r="AH106" s="173"/>
      <c r="AI106" s="167"/>
      <c r="AJ106" s="174"/>
      <c r="AK106" s="167"/>
      <c r="AL106" s="167"/>
      <c r="AM106" s="167"/>
      <c r="AN106" s="167"/>
      <c r="AO106" s="167"/>
      <c r="AP106" s="167"/>
      <c r="AQ106" s="157"/>
      <c r="AR106" s="284"/>
      <c r="AS106" s="284"/>
      <c r="AT106" s="284"/>
      <c r="AU106" s="284"/>
      <c r="AV106" s="184"/>
      <c r="AW106" s="186"/>
    </row>
    <row r="107" spans="1:50" ht="15.75" x14ac:dyDescent="0.25">
      <c r="B107" s="84"/>
      <c r="C107" s="192"/>
      <c r="D107" s="25"/>
      <c r="E107" s="72"/>
      <c r="F107" s="113"/>
      <c r="G107" s="113"/>
      <c r="H107" s="28"/>
      <c r="I107" s="27"/>
      <c r="J107" s="118"/>
      <c r="K107" s="113"/>
      <c r="L107" s="28"/>
      <c r="M107" s="27"/>
      <c r="N107" s="28"/>
      <c r="O107" s="72"/>
      <c r="P107" s="72"/>
      <c r="Q107" s="27"/>
      <c r="R107" s="157"/>
      <c r="S107" s="73"/>
      <c r="T107" s="25"/>
      <c r="U107" s="235"/>
      <c r="V107" s="25"/>
      <c r="W107" s="25"/>
      <c r="X107" s="25"/>
      <c r="Y107" s="29"/>
      <c r="Z107" s="160"/>
      <c r="AA107" s="279"/>
      <c r="AB107" s="76"/>
      <c r="AC107" s="281"/>
      <c r="AD107" s="161"/>
      <c r="AE107" s="163"/>
      <c r="AF107" s="76"/>
      <c r="AG107" s="161"/>
      <c r="AH107" s="173"/>
      <c r="AI107" s="167"/>
      <c r="AJ107" s="174"/>
      <c r="AK107" s="167"/>
      <c r="AL107" s="167"/>
      <c r="AM107" s="167"/>
      <c r="AN107" s="167"/>
      <c r="AO107" s="167"/>
      <c r="AP107" s="167"/>
      <c r="AQ107" s="157"/>
      <c r="AR107" s="284"/>
      <c r="AS107" s="284"/>
      <c r="AT107" s="284"/>
      <c r="AU107" s="284"/>
      <c r="AV107" s="184"/>
      <c r="AW107" s="186"/>
    </row>
    <row r="108" spans="1:50" ht="15.75" x14ac:dyDescent="0.25">
      <c r="B108" s="84"/>
      <c r="C108" s="192"/>
      <c r="D108" s="25"/>
      <c r="E108" s="237"/>
      <c r="F108" s="113"/>
      <c r="G108" s="113"/>
      <c r="H108" s="28"/>
      <c r="I108" s="27"/>
      <c r="J108" s="118"/>
      <c r="K108" s="113"/>
      <c r="L108" s="28"/>
      <c r="M108" s="27"/>
      <c r="N108" s="28"/>
      <c r="O108" s="72"/>
      <c r="P108" s="72"/>
      <c r="Q108" s="27"/>
      <c r="R108" s="157"/>
      <c r="S108" s="73"/>
      <c r="T108" s="25"/>
      <c r="U108" s="235"/>
      <c r="V108" s="25"/>
      <c r="W108" s="25"/>
      <c r="X108" s="25"/>
      <c r="Y108" s="29"/>
      <c r="Z108" s="160"/>
      <c r="AA108" s="279"/>
      <c r="AB108" s="76"/>
      <c r="AC108" s="281"/>
      <c r="AD108" s="161"/>
      <c r="AE108" s="163"/>
      <c r="AF108" s="76"/>
      <c r="AG108" s="161"/>
      <c r="AH108" s="173"/>
      <c r="AI108" s="167"/>
      <c r="AJ108" s="174"/>
      <c r="AK108" s="167"/>
      <c r="AL108" s="167"/>
      <c r="AM108" s="167"/>
      <c r="AN108" s="167"/>
      <c r="AO108" s="167"/>
      <c r="AP108" s="167"/>
      <c r="AQ108" s="157"/>
      <c r="AR108" s="284"/>
      <c r="AS108" s="284"/>
      <c r="AT108" s="284"/>
      <c r="AU108" s="284"/>
      <c r="AV108" s="184"/>
      <c r="AW108" s="186"/>
    </row>
    <row r="109" spans="1:50" ht="15.75" x14ac:dyDescent="0.25">
      <c r="B109" s="84"/>
      <c r="C109" s="192"/>
      <c r="D109" s="25"/>
      <c r="E109" s="237"/>
      <c r="F109" s="113"/>
      <c r="G109" s="113"/>
      <c r="H109" s="28"/>
      <c r="I109" s="27"/>
      <c r="J109" s="118"/>
      <c r="K109" s="113"/>
      <c r="L109" s="28"/>
      <c r="M109" s="27"/>
      <c r="N109" s="28"/>
      <c r="O109" s="72"/>
      <c r="P109" s="72"/>
      <c r="Q109" s="27"/>
      <c r="R109" s="157"/>
      <c r="S109" s="73"/>
      <c r="T109" s="25"/>
      <c r="U109" s="235"/>
      <c r="V109" s="25"/>
      <c r="W109" s="25"/>
      <c r="X109" s="25"/>
      <c r="Y109" s="29"/>
      <c r="Z109" s="160"/>
      <c r="AA109" s="279"/>
      <c r="AB109" s="76"/>
      <c r="AC109" s="281"/>
      <c r="AD109" s="161"/>
      <c r="AE109" s="163"/>
      <c r="AF109" s="76"/>
      <c r="AG109" s="161"/>
      <c r="AH109" s="173"/>
      <c r="AI109" s="167"/>
      <c r="AJ109" s="174"/>
      <c r="AK109" s="167"/>
      <c r="AL109" s="167"/>
      <c r="AM109" s="167"/>
      <c r="AN109" s="167"/>
      <c r="AO109" s="167"/>
      <c r="AP109" s="167"/>
      <c r="AQ109" s="157"/>
      <c r="AR109" s="284"/>
      <c r="AS109" s="284"/>
      <c r="AT109" s="284"/>
      <c r="AU109" s="284"/>
      <c r="AV109" s="184"/>
      <c r="AW109" s="186"/>
    </row>
    <row r="110" spans="1:50" ht="15.75" x14ac:dyDescent="0.25">
      <c r="B110" s="84"/>
      <c r="C110" s="192"/>
      <c r="D110" s="25"/>
      <c r="E110" s="237"/>
      <c r="F110" s="113"/>
      <c r="G110" s="113"/>
      <c r="H110" s="28"/>
      <c r="I110" s="27"/>
      <c r="J110" s="118"/>
      <c r="K110" s="113"/>
      <c r="L110" s="28"/>
      <c r="M110" s="27"/>
      <c r="N110" s="28"/>
      <c r="O110" s="72"/>
      <c r="P110" s="72"/>
      <c r="Q110" s="27"/>
      <c r="R110" s="157"/>
      <c r="S110" s="73"/>
      <c r="T110" s="25"/>
      <c r="U110" s="235"/>
      <c r="V110" s="25"/>
      <c r="W110" s="25"/>
      <c r="X110" s="25"/>
      <c r="Y110" s="29"/>
      <c r="Z110" s="160"/>
      <c r="AA110" s="279"/>
      <c r="AB110" s="76"/>
      <c r="AC110" s="281"/>
      <c r="AD110" s="161"/>
      <c r="AE110" s="163"/>
      <c r="AF110" s="76"/>
      <c r="AG110" s="161"/>
      <c r="AH110" s="173"/>
      <c r="AI110" s="167"/>
      <c r="AJ110" s="174"/>
      <c r="AK110" s="167"/>
      <c r="AL110" s="167"/>
      <c r="AM110" s="167"/>
      <c r="AN110" s="167"/>
      <c r="AO110" s="167"/>
      <c r="AP110" s="167"/>
      <c r="AQ110" s="157"/>
      <c r="AR110" s="284"/>
      <c r="AS110" s="284"/>
      <c r="AT110" s="284"/>
      <c r="AU110" s="284"/>
      <c r="AV110" s="184"/>
      <c r="AW110" s="186"/>
    </row>
    <row r="111" spans="1:50" ht="15.75" x14ac:dyDescent="0.25">
      <c r="B111" s="84"/>
      <c r="C111" s="192"/>
      <c r="D111" s="25"/>
      <c r="E111" s="238"/>
      <c r="F111" s="113"/>
      <c r="G111" s="113"/>
      <c r="H111" s="28"/>
      <c r="I111" s="27"/>
      <c r="J111" s="118"/>
      <c r="K111" s="113"/>
      <c r="L111" s="28"/>
      <c r="M111" s="27"/>
      <c r="N111" s="28"/>
      <c r="O111" s="72"/>
      <c r="P111" s="72"/>
      <c r="Q111" s="27"/>
      <c r="R111" s="157"/>
      <c r="S111" s="73"/>
      <c r="T111" s="25"/>
      <c r="U111" s="235"/>
      <c r="V111" s="25"/>
      <c r="W111" s="25"/>
      <c r="X111" s="25"/>
      <c r="Y111" s="29"/>
      <c r="Z111" s="160"/>
      <c r="AA111" s="279"/>
      <c r="AB111" s="76"/>
      <c r="AC111" s="281"/>
      <c r="AD111" s="161"/>
      <c r="AE111" s="163"/>
      <c r="AF111" s="76"/>
      <c r="AG111" s="161"/>
      <c r="AH111" s="173"/>
      <c r="AI111" s="167"/>
      <c r="AJ111" s="174"/>
      <c r="AK111" s="167"/>
      <c r="AL111" s="167"/>
      <c r="AM111" s="167"/>
      <c r="AN111" s="167"/>
      <c r="AO111" s="167"/>
      <c r="AP111" s="167"/>
      <c r="AQ111" s="157"/>
      <c r="AR111" s="284"/>
      <c r="AS111" s="284"/>
      <c r="AT111" s="284"/>
      <c r="AU111" s="284"/>
      <c r="AV111" s="184"/>
      <c r="AW111" s="186"/>
    </row>
    <row r="112" spans="1:50" ht="15.75" x14ac:dyDescent="0.25">
      <c r="B112" s="84"/>
      <c r="C112" s="192"/>
      <c r="D112" s="25"/>
      <c r="E112" s="237"/>
      <c r="F112" s="113"/>
      <c r="G112" s="113"/>
      <c r="H112" s="28"/>
      <c r="I112" s="27"/>
      <c r="J112" s="118"/>
      <c r="K112" s="113"/>
      <c r="L112" s="28"/>
      <c r="M112" s="27"/>
      <c r="N112" s="28"/>
      <c r="O112" s="72"/>
      <c r="P112" s="72"/>
      <c r="Q112" s="27"/>
      <c r="R112" s="157"/>
      <c r="S112" s="73"/>
      <c r="T112" s="25"/>
      <c r="U112" s="235"/>
      <c r="V112" s="25"/>
      <c r="W112" s="25"/>
      <c r="X112" s="25"/>
      <c r="Y112" s="29"/>
      <c r="Z112" s="160"/>
      <c r="AA112" s="279"/>
      <c r="AB112" s="76"/>
      <c r="AC112" s="281"/>
      <c r="AD112" s="161"/>
      <c r="AE112" s="163"/>
      <c r="AF112" s="76"/>
      <c r="AG112" s="161"/>
      <c r="AH112" s="173"/>
      <c r="AI112" s="167"/>
      <c r="AJ112" s="174"/>
      <c r="AK112" s="167"/>
      <c r="AL112" s="167"/>
      <c r="AM112" s="167"/>
      <c r="AN112" s="167"/>
      <c r="AO112" s="167"/>
      <c r="AP112" s="167"/>
      <c r="AQ112" s="157"/>
      <c r="AR112" s="284"/>
      <c r="AS112" s="284"/>
      <c r="AT112" s="284"/>
      <c r="AU112" s="284"/>
      <c r="AV112" s="184"/>
      <c r="AW112" s="186"/>
    </row>
    <row r="113" spans="2:49" ht="15.75" x14ac:dyDescent="0.25">
      <c r="B113" s="84"/>
      <c r="C113" s="192"/>
      <c r="D113" s="25"/>
      <c r="E113" s="237"/>
      <c r="F113" s="113"/>
      <c r="G113" s="113"/>
      <c r="H113" s="28"/>
      <c r="I113" s="27"/>
      <c r="J113" s="118"/>
      <c r="K113" s="113"/>
      <c r="L113" s="28"/>
      <c r="M113" s="27"/>
      <c r="N113" s="28"/>
      <c r="O113" s="72"/>
      <c r="P113" s="72"/>
      <c r="Q113" s="27"/>
      <c r="R113" s="157"/>
      <c r="S113" s="73"/>
      <c r="T113" s="25"/>
      <c r="U113" s="235"/>
      <c r="V113" s="25"/>
      <c r="W113" s="25"/>
      <c r="X113" s="25"/>
      <c r="Y113" s="29"/>
      <c r="Z113" s="160"/>
      <c r="AA113" s="279"/>
      <c r="AB113" s="76"/>
      <c r="AC113" s="281"/>
      <c r="AD113" s="161"/>
      <c r="AE113" s="163"/>
      <c r="AF113" s="76"/>
      <c r="AG113" s="161"/>
      <c r="AH113" s="173"/>
      <c r="AI113" s="167"/>
      <c r="AJ113" s="174"/>
      <c r="AK113" s="167"/>
      <c r="AL113" s="167"/>
      <c r="AM113" s="167"/>
      <c r="AN113" s="167"/>
      <c r="AO113" s="167"/>
      <c r="AP113" s="167"/>
      <c r="AQ113" s="157"/>
      <c r="AR113" s="284"/>
      <c r="AS113" s="284"/>
      <c r="AT113" s="284"/>
      <c r="AU113" s="284"/>
      <c r="AV113" s="184"/>
      <c r="AW113" s="186"/>
    </row>
    <row r="114" spans="2:49" ht="15.75" x14ac:dyDescent="0.25">
      <c r="B114" s="84"/>
      <c r="C114" s="192"/>
      <c r="D114" s="25"/>
      <c r="E114" s="237"/>
      <c r="F114" s="113"/>
      <c r="G114" s="113"/>
      <c r="H114" s="28"/>
      <c r="I114" s="27"/>
      <c r="J114" s="118"/>
      <c r="K114" s="113"/>
      <c r="L114" s="28"/>
      <c r="M114" s="27"/>
      <c r="N114" s="28"/>
      <c r="O114" s="72"/>
      <c r="P114" s="72"/>
      <c r="Q114" s="27"/>
      <c r="R114" s="157"/>
      <c r="S114" s="73"/>
      <c r="T114" s="25"/>
      <c r="U114" s="235"/>
      <c r="V114" s="25"/>
      <c r="W114" s="25"/>
      <c r="X114" s="25"/>
      <c r="Y114" s="29"/>
      <c r="Z114" s="160"/>
      <c r="AA114" s="279"/>
      <c r="AB114" s="76"/>
      <c r="AC114" s="281"/>
      <c r="AD114" s="161"/>
      <c r="AE114" s="163"/>
      <c r="AF114" s="76"/>
      <c r="AG114" s="161"/>
      <c r="AH114" s="173"/>
      <c r="AI114" s="167"/>
      <c r="AJ114" s="174"/>
      <c r="AK114" s="167"/>
      <c r="AL114" s="167"/>
      <c r="AM114" s="167"/>
      <c r="AN114" s="167"/>
      <c r="AO114" s="167"/>
      <c r="AP114" s="167"/>
      <c r="AQ114" s="157"/>
      <c r="AR114" s="284"/>
      <c r="AS114" s="284"/>
      <c r="AT114" s="284"/>
      <c r="AU114" s="284"/>
      <c r="AV114" s="184"/>
      <c r="AW114" s="186"/>
    </row>
    <row r="115" spans="2:49" ht="15.75" x14ac:dyDescent="0.25">
      <c r="B115" s="84"/>
      <c r="C115" s="192"/>
      <c r="D115" s="25"/>
      <c r="E115" s="72"/>
      <c r="F115" s="113"/>
      <c r="G115" s="113"/>
      <c r="H115" s="28"/>
      <c r="I115" s="27"/>
      <c r="J115" s="118"/>
      <c r="K115" s="113"/>
      <c r="L115" s="28"/>
      <c r="M115" s="27"/>
      <c r="N115" s="28"/>
      <c r="O115" s="72"/>
      <c r="P115" s="72"/>
      <c r="Q115" s="27"/>
      <c r="R115" s="157"/>
      <c r="S115" s="73"/>
      <c r="T115" s="25"/>
      <c r="U115" s="235"/>
      <c r="V115" s="25"/>
      <c r="W115" s="25"/>
      <c r="X115" s="25"/>
      <c r="Y115" s="29"/>
      <c r="Z115" s="160"/>
      <c r="AA115" s="279"/>
      <c r="AB115" s="76"/>
      <c r="AC115" s="281"/>
      <c r="AD115" s="161"/>
      <c r="AE115" s="163"/>
      <c r="AF115" s="76"/>
      <c r="AG115" s="161"/>
      <c r="AH115" s="173"/>
      <c r="AI115" s="167"/>
      <c r="AJ115" s="174"/>
      <c r="AK115" s="167"/>
      <c r="AL115" s="167"/>
      <c r="AM115" s="167"/>
      <c r="AN115" s="167"/>
      <c r="AO115" s="167"/>
      <c r="AP115" s="167"/>
      <c r="AQ115" s="157"/>
      <c r="AR115" s="284"/>
      <c r="AS115" s="284"/>
      <c r="AT115" s="284"/>
      <c r="AU115" s="284"/>
      <c r="AV115" s="184"/>
      <c r="AW115" s="186"/>
    </row>
    <row r="116" spans="2:49" ht="15.75" x14ac:dyDescent="0.25">
      <c r="B116" s="84"/>
      <c r="C116" s="192"/>
      <c r="D116" s="25"/>
      <c r="E116" s="237"/>
      <c r="F116" s="113"/>
      <c r="G116" s="113"/>
      <c r="H116" s="28"/>
      <c r="I116" s="27"/>
      <c r="J116" s="118"/>
      <c r="K116" s="113"/>
      <c r="L116" s="28"/>
      <c r="M116" s="27"/>
      <c r="N116" s="28"/>
      <c r="O116" s="72"/>
      <c r="P116" s="72"/>
      <c r="Q116" s="27"/>
      <c r="R116" s="157"/>
      <c r="S116" s="73"/>
      <c r="T116" s="25"/>
      <c r="U116" s="235"/>
      <c r="V116" s="25"/>
      <c r="W116" s="25"/>
      <c r="X116" s="25"/>
      <c r="Y116" s="29"/>
      <c r="Z116" s="160"/>
      <c r="AA116" s="279"/>
      <c r="AB116" s="76"/>
      <c r="AC116" s="281"/>
      <c r="AD116" s="161"/>
      <c r="AE116" s="163"/>
      <c r="AF116" s="76"/>
      <c r="AG116" s="161"/>
      <c r="AH116" s="173"/>
      <c r="AI116" s="167"/>
      <c r="AJ116" s="174"/>
      <c r="AK116" s="167"/>
      <c r="AL116" s="167"/>
      <c r="AM116" s="167"/>
      <c r="AN116" s="167"/>
      <c r="AO116" s="167"/>
      <c r="AP116" s="167"/>
      <c r="AQ116" s="157"/>
      <c r="AR116" s="284"/>
      <c r="AS116" s="284"/>
      <c r="AT116" s="284"/>
      <c r="AU116" s="284"/>
      <c r="AV116" s="184"/>
      <c r="AW116" s="186"/>
    </row>
    <row r="117" spans="2:49" ht="15.75" x14ac:dyDescent="0.25">
      <c r="B117" s="84"/>
      <c r="C117" s="192"/>
      <c r="D117" s="25"/>
      <c r="E117" s="237"/>
      <c r="F117" s="113"/>
      <c r="G117" s="113"/>
      <c r="H117" s="28"/>
      <c r="I117" s="27"/>
      <c r="J117" s="118"/>
      <c r="K117" s="113"/>
      <c r="L117" s="28"/>
      <c r="M117" s="27"/>
      <c r="N117" s="28"/>
      <c r="O117" s="72"/>
      <c r="P117" s="72"/>
      <c r="Q117" s="27"/>
      <c r="R117" s="157"/>
      <c r="S117" s="73"/>
      <c r="T117" s="25"/>
      <c r="U117" s="235"/>
      <c r="V117" s="25"/>
      <c r="W117" s="25"/>
      <c r="X117" s="25"/>
      <c r="Y117" s="29"/>
      <c r="Z117" s="160"/>
      <c r="AA117" s="279"/>
      <c r="AB117" s="76"/>
      <c r="AC117" s="281"/>
      <c r="AD117" s="161"/>
      <c r="AE117" s="163"/>
      <c r="AF117" s="76"/>
      <c r="AG117" s="161"/>
      <c r="AH117" s="173"/>
      <c r="AI117" s="167"/>
      <c r="AJ117" s="174"/>
      <c r="AK117" s="167"/>
      <c r="AL117" s="167"/>
      <c r="AM117" s="167"/>
      <c r="AN117" s="167"/>
      <c r="AO117" s="167"/>
      <c r="AP117" s="167"/>
      <c r="AQ117" s="157"/>
      <c r="AR117" s="284"/>
      <c r="AS117" s="284"/>
      <c r="AT117" s="284"/>
      <c r="AU117" s="284"/>
      <c r="AV117" s="184"/>
      <c r="AW117" s="186"/>
    </row>
    <row r="118" spans="2:49" ht="15.75" x14ac:dyDescent="0.25">
      <c r="B118" s="84"/>
      <c r="C118" s="192"/>
      <c r="D118" s="25"/>
      <c r="E118" s="238"/>
      <c r="F118" s="113"/>
      <c r="G118" s="113"/>
      <c r="H118" s="28"/>
      <c r="I118" s="27"/>
      <c r="J118" s="118"/>
      <c r="K118" s="113"/>
      <c r="L118" s="28"/>
      <c r="M118" s="27"/>
      <c r="N118" s="28"/>
      <c r="O118" s="72"/>
      <c r="P118" s="72"/>
      <c r="Q118" s="27"/>
      <c r="R118" s="157"/>
      <c r="S118" s="73"/>
      <c r="T118" s="25"/>
      <c r="U118" s="235"/>
      <c r="V118" s="25"/>
      <c r="W118" s="25"/>
      <c r="X118" s="25"/>
      <c r="Y118" s="29"/>
      <c r="Z118" s="160"/>
      <c r="AA118" s="279"/>
      <c r="AB118" s="76"/>
      <c r="AC118" s="281"/>
      <c r="AD118" s="161"/>
      <c r="AE118" s="163"/>
      <c r="AF118" s="76"/>
      <c r="AG118" s="161"/>
      <c r="AH118" s="173"/>
      <c r="AI118" s="167"/>
      <c r="AJ118" s="174"/>
      <c r="AK118" s="167"/>
      <c r="AL118" s="167"/>
      <c r="AM118" s="167"/>
      <c r="AN118" s="167"/>
      <c r="AO118" s="167"/>
      <c r="AP118" s="167"/>
      <c r="AQ118" s="157"/>
      <c r="AR118" s="284"/>
      <c r="AS118" s="284"/>
      <c r="AT118" s="284"/>
      <c r="AU118" s="284"/>
      <c r="AV118" s="184"/>
      <c r="AW118" s="186"/>
    </row>
    <row r="119" spans="2:49" ht="15.75" x14ac:dyDescent="0.25">
      <c r="B119" s="84"/>
      <c r="C119" s="192"/>
      <c r="D119" s="25"/>
      <c r="E119" s="237"/>
      <c r="F119" s="113"/>
      <c r="G119" s="113"/>
      <c r="H119" s="28"/>
      <c r="I119" s="27"/>
      <c r="J119" s="118"/>
      <c r="K119" s="113"/>
      <c r="L119" s="28"/>
      <c r="M119" s="27"/>
      <c r="N119" s="28"/>
      <c r="O119" s="72"/>
      <c r="P119" s="72"/>
      <c r="Q119" s="27"/>
      <c r="R119" s="157"/>
      <c r="S119" s="73"/>
      <c r="T119" s="25"/>
      <c r="U119" s="235"/>
      <c r="V119" s="25"/>
      <c r="W119" s="25"/>
      <c r="X119" s="25"/>
      <c r="Y119" s="29"/>
      <c r="Z119" s="160"/>
      <c r="AA119" s="279"/>
      <c r="AB119" s="76"/>
      <c r="AC119" s="281"/>
      <c r="AD119" s="161"/>
      <c r="AE119" s="163"/>
      <c r="AF119" s="76"/>
      <c r="AG119" s="161"/>
      <c r="AH119" s="173"/>
      <c r="AI119" s="167"/>
      <c r="AJ119" s="174"/>
      <c r="AK119" s="167"/>
      <c r="AL119" s="167"/>
      <c r="AM119" s="167"/>
      <c r="AN119" s="167"/>
      <c r="AO119" s="167"/>
      <c r="AP119" s="167"/>
      <c r="AQ119" s="157"/>
      <c r="AR119" s="284"/>
      <c r="AS119" s="284"/>
      <c r="AT119" s="284"/>
      <c r="AU119" s="284"/>
      <c r="AV119" s="184"/>
      <c r="AW119" s="186"/>
    </row>
    <row r="120" spans="2:49" ht="15.75" x14ac:dyDescent="0.25">
      <c r="B120" s="84"/>
      <c r="C120" s="192"/>
      <c r="D120" s="25"/>
      <c r="E120" s="72"/>
      <c r="F120" s="113"/>
      <c r="G120" s="113"/>
      <c r="H120" s="28"/>
      <c r="I120" s="27"/>
      <c r="J120" s="118"/>
      <c r="K120" s="113"/>
      <c r="L120" s="28"/>
      <c r="M120" s="27"/>
      <c r="N120" s="28"/>
      <c r="O120" s="72"/>
      <c r="P120" s="72"/>
      <c r="Q120" s="27"/>
      <c r="R120" s="157"/>
      <c r="S120" s="73"/>
      <c r="T120" s="25"/>
      <c r="U120" s="235"/>
      <c r="V120" s="25"/>
      <c r="W120" s="25"/>
      <c r="X120" s="25"/>
      <c r="Y120" s="29"/>
      <c r="Z120" s="160"/>
      <c r="AA120" s="279"/>
      <c r="AB120" s="76"/>
      <c r="AC120" s="281"/>
      <c r="AD120" s="161"/>
      <c r="AE120" s="163"/>
      <c r="AF120" s="76"/>
      <c r="AG120" s="161"/>
      <c r="AH120" s="173"/>
      <c r="AI120" s="167"/>
      <c r="AJ120" s="174"/>
      <c r="AK120" s="167"/>
      <c r="AL120" s="167"/>
      <c r="AM120" s="167"/>
      <c r="AN120" s="167"/>
      <c r="AO120" s="167"/>
      <c r="AP120" s="167"/>
      <c r="AQ120" s="157"/>
      <c r="AR120" s="284"/>
      <c r="AS120" s="284"/>
      <c r="AT120" s="284"/>
      <c r="AU120" s="284"/>
      <c r="AV120" s="184"/>
      <c r="AW120" s="186"/>
    </row>
    <row r="121" spans="2:49" ht="15.75" x14ac:dyDescent="0.25">
      <c r="B121" s="84"/>
      <c r="C121" s="192"/>
      <c r="D121" s="25"/>
      <c r="E121" s="238"/>
      <c r="F121" s="113"/>
      <c r="G121" s="113"/>
      <c r="H121" s="28"/>
      <c r="I121" s="27"/>
      <c r="J121" s="118"/>
      <c r="K121" s="113"/>
      <c r="L121" s="28"/>
      <c r="M121" s="27"/>
      <c r="N121" s="28"/>
      <c r="O121" s="72"/>
      <c r="P121" s="72"/>
      <c r="Q121" s="27"/>
      <c r="R121" s="157"/>
      <c r="S121" s="73"/>
      <c r="T121" s="25"/>
      <c r="U121" s="235"/>
      <c r="V121" s="25"/>
      <c r="W121" s="25"/>
      <c r="X121" s="25"/>
      <c r="Y121" s="29"/>
      <c r="Z121" s="160"/>
      <c r="AA121" s="279"/>
      <c r="AB121" s="76"/>
      <c r="AC121" s="281"/>
      <c r="AD121" s="161"/>
      <c r="AE121" s="163"/>
      <c r="AF121" s="76"/>
      <c r="AG121" s="161"/>
      <c r="AH121" s="173"/>
      <c r="AI121" s="167"/>
      <c r="AJ121" s="174"/>
      <c r="AK121" s="167"/>
      <c r="AL121" s="167"/>
      <c r="AM121" s="167"/>
      <c r="AN121" s="167"/>
      <c r="AO121" s="167"/>
      <c r="AP121" s="167"/>
      <c r="AQ121" s="157"/>
      <c r="AR121" s="284"/>
      <c r="AS121" s="284"/>
      <c r="AT121" s="284"/>
      <c r="AU121" s="284"/>
      <c r="AV121" s="184"/>
      <c r="AW121" s="186"/>
    </row>
    <row r="122" spans="2:49" ht="15.75" x14ac:dyDescent="0.25">
      <c r="B122" s="84"/>
      <c r="C122" s="192"/>
      <c r="D122" s="25"/>
      <c r="E122" s="237"/>
      <c r="F122" s="113"/>
      <c r="G122" s="113"/>
      <c r="H122" s="28"/>
      <c r="I122" s="27"/>
      <c r="J122" s="118"/>
      <c r="K122" s="113"/>
      <c r="L122" s="28"/>
      <c r="M122" s="27"/>
      <c r="N122" s="28"/>
      <c r="O122" s="72"/>
      <c r="P122" s="72"/>
      <c r="Q122" s="27"/>
      <c r="R122" s="157"/>
      <c r="S122" s="73"/>
      <c r="T122" s="25"/>
      <c r="U122" s="235"/>
      <c r="V122" s="25"/>
      <c r="W122" s="25"/>
      <c r="X122" s="25"/>
      <c r="Y122" s="29"/>
      <c r="Z122" s="160"/>
      <c r="AA122" s="279"/>
      <c r="AB122" s="76"/>
      <c r="AC122" s="281"/>
      <c r="AD122" s="161"/>
      <c r="AE122" s="163"/>
      <c r="AF122" s="76"/>
      <c r="AG122" s="161"/>
      <c r="AH122" s="173"/>
      <c r="AI122" s="167"/>
      <c r="AJ122" s="174"/>
      <c r="AK122" s="167"/>
      <c r="AL122" s="167"/>
      <c r="AM122" s="167"/>
      <c r="AN122" s="167"/>
      <c r="AO122" s="167"/>
      <c r="AP122" s="167"/>
      <c r="AQ122" s="157"/>
      <c r="AR122" s="284"/>
      <c r="AS122" s="284"/>
      <c r="AT122" s="284"/>
      <c r="AU122" s="284"/>
      <c r="AV122" s="184"/>
      <c r="AW122" s="186"/>
    </row>
    <row r="123" spans="2:49" ht="15.75" x14ac:dyDescent="0.25">
      <c r="B123" s="84"/>
      <c r="C123" s="192"/>
      <c r="D123" s="25"/>
      <c r="E123" s="237"/>
      <c r="F123" s="113"/>
      <c r="G123" s="113"/>
      <c r="H123" s="28"/>
      <c r="I123" s="27"/>
      <c r="J123" s="118"/>
      <c r="K123" s="113"/>
      <c r="L123" s="28"/>
      <c r="M123" s="27"/>
      <c r="N123" s="28"/>
      <c r="O123" s="72"/>
      <c r="P123" s="72"/>
      <c r="Q123" s="27"/>
      <c r="R123" s="157"/>
      <c r="S123" s="73"/>
      <c r="T123" s="25"/>
      <c r="U123" s="235"/>
      <c r="V123" s="25"/>
      <c r="W123" s="25"/>
      <c r="X123" s="25"/>
      <c r="Y123" s="29"/>
      <c r="Z123" s="160"/>
      <c r="AA123" s="279"/>
      <c r="AB123" s="76"/>
      <c r="AC123" s="281"/>
      <c r="AD123" s="161"/>
      <c r="AE123" s="163"/>
      <c r="AF123" s="76"/>
      <c r="AG123" s="161"/>
      <c r="AH123" s="173"/>
      <c r="AI123" s="167"/>
      <c r="AJ123" s="174"/>
      <c r="AK123" s="167"/>
      <c r="AL123" s="167"/>
      <c r="AM123" s="167"/>
      <c r="AN123" s="167"/>
      <c r="AO123" s="167"/>
      <c r="AP123" s="167"/>
      <c r="AQ123" s="157"/>
      <c r="AR123" s="284"/>
      <c r="AS123" s="284"/>
      <c r="AT123" s="284"/>
      <c r="AU123" s="284"/>
      <c r="AV123" s="184"/>
      <c r="AW123" s="186"/>
    </row>
    <row r="124" spans="2:49" ht="15.75" x14ac:dyDescent="0.25">
      <c r="B124" s="84"/>
      <c r="C124" s="192"/>
      <c r="D124" s="25"/>
      <c r="E124" s="237"/>
      <c r="F124" s="113"/>
      <c r="G124" s="113"/>
      <c r="H124" s="28"/>
      <c r="I124" s="27"/>
      <c r="J124" s="118"/>
      <c r="K124" s="113"/>
      <c r="L124" s="28"/>
      <c r="M124" s="27"/>
      <c r="N124" s="28"/>
      <c r="O124" s="72"/>
      <c r="P124" s="72"/>
      <c r="Q124" s="27"/>
      <c r="R124" s="157"/>
      <c r="S124" s="73"/>
      <c r="T124" s="25"/>
      <c r="U124" s="235"/>
      <c r="V124" s="25"/>
      <c r="W124" s="25"/>
      <c r="X124" s="25"/>
      <c r="Y124" s="29"/>
      <c r="Z124" s="160"/>
      <c r="AA124" s="279"/>
      <c r="AB124" s="76"/>
      <c r="AC124" s="281"/>
      <c r="AD124" s="161"/>
      <c r="AE124" s="163"/>
      <c r="AF124" s="76"/>
      <c r="AG124" s="161"/>
      <c r="AH124" s="173"/>
      <c r="AI124" s="167"/>
      <c r="AJ124" s="174"/>
      <c r="AK124" s="167"/>
      <c r="AL124" s="167"/>
      <c r="AM124" s="167"/>
      <c r="AN124" s="167"/>
      <c r="AO124" s="167"/>
      <c r="AP124" s="167"/>
      <c r="AQ124" s="157"/>
      <c r="AR124" s="284"/>
      <c r="AS124" s="284"/>
      <c r="AT124" s="284"/>
      <c r="AU124" s="284"/>
      <c r="AV124" s="184"/>
      <c r="AW124" s="186"/>
    </row>
    <row r="125" spans="2:49" ht="15.75" x14ac:dyDescent="0.25">
      <c r="B125" s="84"/>
      <c r="C125" s="192"/>
      <c r="D125" s="25"/>
      <c r="E125" s="237"/>
      <c r="F125" s="113"/>
      <c r="G125" s="113"/>
      <c r="H125" s="28"/>
      <c r="I125" s="27"/>
      <c r="J125" s="118"/>
      <c r="K125" s="113"/>
      <c r="L125" s="28"/>
      <c r="M125" s="27"/>
      <c r="N125" s="28"/>
      <c r="O125" s="72"/>
      <c r="P125" s="72"/>
      <c r="Q125" s="27"/>
      <c r="R125" s="157"/>
      <c r="S125" s="73"/>
      <c r="T125" s="25"/>
      <c r="U125" s="235"/>
      <c r="V125" s="25"/>
      <c r="W125" s="25"/>
      <c r="X125" s="25"/>
      <c r="Y125" s="29"/>
      <c r="Z125" s="160"/>
      <c r="AA125" s="279"/>
      <c r="AB125" s="76"/>
      <c r="AC125" s="281"/>
      <c r="AD125" s="161"/>
      <c r="AE125" s="163"/>
      <c r="AF125" s="76"/>
      <c r="AG125" s="161"/>
      <c r="AH125" s="173"/>
      <c r="AI125" s="167"/>
      <c r="AJ125" s="174"/>
      <c r="AK125" s="167"/>
      <c r="AL125" s="167"/>
      <c r="AM125" s="167"/>
      <c r="AN125" s="167"/>
      <c r="AO125" s="167"/>
      <c r="AP125" s="167"/>
      <c r="AQ125" s="157"/>
      <c r="AR125" s="284"/>
      <c r="AS125" s="284"/>
      <c r="AT125" s="284"/>
      <c r="AU125" s="284"/>
      <c r="AV125" s="184"/>
      <c r="AW125" s="186"/>
    </row>
    <row r="126" spans="2:49" ht="15.75" x14ac:dyDescent="0.25">
      <c r="B126" s="84"/>
      <c r="C126" s="192"/>
      <c r="D126" s="25"/>
      <c r="E126" s="237"/>
      <c r="F126" s="113"/>
      <c r="G126" s="113"/>
      <c r="H126" s="28"/>
      <c r="I126" s="27"/>
      <c r="J126" s="118"/>
      <c r="K126" s="113"/>
      <c r="L126" s="28"/>
      <c r="M126" s="27"/>
      <c r="N126" s="28"/>
      <c r="O126" s="72"/>
      <c r="P126" s="72"/>
      <c r="Q126" s="27"/>
      <c r="R126" s="157"/>
      <c r="S126" s="73"/>
      <c r="T126" s="25"/>
      <c r="U126" s="235"/>
      <c r="V126" s="25"/>
      <c r="W126" s="25"/>
      <c r="X126" s="25"/>
      <c r="Y126" s="29"/>
      <c r="Z126" s="160"/>
      <c r="AA126" s="279"/>
      <c r="AB126" s="76"/>
      <c r="AC126" s="281"/>
      <c r="AD126" s="161"/>
      <c r="AE126" s="163"/>
      <c r="AF126" s="76"/>
      <c r="AG126" s="161"/>
      <c r="AH126" s="173"/>
      <c r="AI126" s="167"/>
      <c r="AJ126" s="174"/>
      <c r="AK126" s="167"/>
      <c r="AL126" s="167"/>
      <c r="AM126" s="167"/>
      <c r="AN126" s="167"/>
      <c r="AO126" s="167"/>
      <c r="AP126" s="167"/>
      <c r="AQ126" s="157"/>
      <c r="AR126" s="284"/>
      <c r="AS126" s="284"/>
      <c r="AT126" s="284"/>
      <c r="AU126" s="284"/>
      <c r="AV126" s="184"/>
      <c r="AW126" s="186"/>
    </row>
    <row r="127" spans="2:49" ht="15.75" x14ac:dyDescent="0.25">
      <c r="B127" s="84"/>
      <c r="C127" s="192"/>
      <c r="D127" s="25"/>
      <c r="E127" s="237"/>
      <c r="F127" s="113"/>
      <c r="G127" s="113"/>
      <c r="H127" s="28"/>
      <c r="I127" s="27"/>
      <c r="J127" s="118"/>
      <c r="K127" s="113"/>
      <c r="L127" s="28"/>
      <c r="M127" s="27"/>
      <c r="N127" s="28"/>
      <c r="O127" s="72"/>
      <c r="P127" s="72"/>
      <c r="Q127" s="27"/>
      <c r="R127" s="157"/>
      <c r="S127" s="73"/>
      <c r="T127" s="25"/>
      <c r="U127" s="235"/>
      <c r="V127" s="25"/>
      <c r="W127" s="25"/>
      <c r="X127" s="25"/>
      <c r="Y127" s="29"/>
      <c r="Z127" s="160"/>
      <c r="AA127" s="279"/>
      <c r="AB127" s="76"/>
      <c r="AC127" s="281"/>
      <c r="AD127" s="161"/>
      <c r="AE127" s="163"/>
      <c r="AF127" s="76"/>
      <c r="AG127" s="161"/>
      <c r="AH127" s="173"/>
      <c r="AI127" s="167"/>
      <c r="AJ127" s="174"/>
      <c r="AK127" s="167"/>
      <c r="AL127" s="167"/>
      <c r="AM127" s="167"/>
      <c r="AN127" s="167"/>
      <c r="AO127" s="167"/>
      <c r="AP127" s="167"/>
      <c r="AQ127" s="157"/>
      <c r="AR127" s="284"/>
      <c r="AS127" s="284"/>
      <c r="AT127" s="284"/>
      <c r="AU127" s="284"/>
      <c r="AV127" s="184"/>
      <c r="AW127" s="186"/>
    </row>
    <row r="128" spans="2:49" ht="15.75" x14ac:dyDescent="0.25">
      <c r="B128" s="84"/>
      <c r="C128" s="192"/>
      <c r="D128" s="25"/>
      <c r="E128" s="237"/>
      <c r="F128" s="113"/>
      <c r="G128" s="113"/>
      <c r="H128" s="28"/>
      <c r="I128" s="27"/>
      <c r="J128" s="118"/>
      <c r="K128" s="113"/>
      <c r="L128" s="28"/>
      <c r="M128" s="27"/>
      <c r="N128" s="28"/>
      <c r="O128" s="72"/>
      <c r="P128" s="72"/>
      <c r="Q128" s="27"/>
      <c r="R128" s="157"/>
      <c r="S128" s="73"/>
      <c r="T128" s="25"/>
      <c r="U128" s="235"/>
      <c r="V128" s="25"/>
      <c r="W128" s="25"/>
      <c r="X128" s="25"/>
      <c r="Y128" s="29"/>
      <c r="Z128" s="160"/>
      <c r="AA128" s="279"/>
      <c r="AB128" s="76"/>
      <c r="AC128" s="281"/>
      <c r="AD128" s="161"/>
      <c r="AE128" s="163"/>
      <c r="AF128" s="76"/>
      <c r="AG128" s="161"/>
      <c r="AH128" s="173"/>
      <c r="AI128" s="167"/>
      <c r="AJ128" s="174"/>
      <c r="AK128" s="167"/>
      <c r="AL128" s="167"/>
      <c r="AM128" s="167"/>
      <c r="AN128" s="167"/>
      <c r="AO128" s="167"/>
      <c r="AP128" s="167"/>
      <c r="AQ128" s="157"/>
      <c r="AR128" s="284"/>
      <c r="AS128" s="284"/>
      <c r="AT128" s="284"/>
      <c r="AU128" s="284"/>
      <c r="AV128" s="184"/>
      <c r="AW128" s="186"/>
    </row>
    <row r="129" spans="2:49" ht="15.75" x14ac:dyDescent="0.25">
      <c r="B129" s="84"/>
      <c r="C129" s="192"/>
      <c r="D129" s="25"/>
      <c r="E129" s="72"/>
      <c r="F129" s="113"/>
      <c r="G129" s="113"/>
      <c r="H129" s="28"/>
      <c r="I129" s="27"/>
      <c r="J129" s="118"/>
      <c r="K129" s="113"/>
      <c r="L129" s="28"/>
      <c r="M129" s="27"/>
      <c r="N129" s="28"/>
      <c r="O129" s="72"/>
      <c r="P129" s="72"/>
      <c r="Q129" s="27"/>
      <c r="R129" s="157"/>
      <c r="S129" s="73"/>
      <c r="T129" s="25"/>
      <c r="U129" s="235"/>
      <c r="V129" s="25"/>
      <c r="W129" s="25"/>
      <c r="X129" s="25"/>
      <c r="Y129" s="29"/>
      <c r="Z129" s="160"/>
      <c r="AA129" s="279"/>
      <c r="AB129" s="76"/>
      <c r="AC129" s="281"/>
      <c r="AD129" s="161"/>
      <c r="AE129" s="163"/>
      <c r="AF129" s="76"/>
      <c r="AG129" s="161"/>
      <c r="AH129" s="173"/>
      <c r="AI129" s="167"/>
      <c r="AJ129" s="174"/>
      <c r="AK129" s="167"/>
      <c r="AL129" s="167"/>
      <c r="AM129" s="167"/>
      <c r="AN129" s="167"/>
      <c r="AO129" s="167"/>
      <c r="AP129" s="167"/>
      <c r="AQ129" s="157"/>
      <c r="AR129" s="284"/>
      <c r="AS129" s="284"/>
      <c r="AT129" s="284"/>
      <c r="AU129" s="284"/>
      <c r="AV129" s="184"/>
      <c r="AW129" s="186"/>
    </row>
    <row r="130" spans="2:49" ht="15.75" x14ac:dyDescent="0.25">
      <c r="B130" s="84"/>
      <c r="C130" s="192"/>
      <c r="D130" s="25"/>
      <c r="E130" s="237"/>
      <c r="F130" s="113"/>
      <c r="G130" s="113"/>
      <c r="H130" s="28"/>
      <c r="I130" s="27"/>
      <c r="J130" s="118"/>
      <c r="K130" s="113"/>
      <c r="L130" s="28"/>
      <c r="M130" s="27"/>
      <c r="N130" s="28"/>
      <c r="O130" s="72"/>
      <c r="P130" s="72"/>
      <c r="Q130" s="27"/>
      <c r="R130" s="157"/>
      <c r="S130" s="73"/>
      <c r="T130" s="25"/>
      <c r="U130" s="235"/>
      <c r="V130" s="25"/>
      <c r="W130" s="25"/>
      <c r="X130" s="25"/>
      <c r="Y130" s="29"/>
      <c r="Z130" s="160"/>
      <c r="AA130" s="279"/>
      <c r="AB130" s="76"/>
      <c r="AC130" s="281"/>
      <c r="AD130" s="161"/>
      <c r="AE130" s="163"/>
      <c r="AF130" s="76"/>
      <c r="AG130" s="161"/>
      <c r="AH130" s="173"/>
      <c r="AI130" s="167"/>
      <c r="AJ130" s="174"/>
      <c r="AK130" s="167"/>
      <c r="AL130" s="167"/>
      <c r="AM130" s="167"/>
      <c r="AN130" s="167"/>
      <c r="AO130" s="167"/>
      <c r="AP130" s="167"/>
      <c r="AQ130" s="157"/>
      <c r="AR130" s="284"/>
      <c r="AS130" s="284"/>
      <c r="AT130" s="284"/>
      <c r="AU130" s="284"/>
      <c r="AV130" s="184"/>
      <c r="AW130" s="186"/>
    </row>
    <row r="131" spans="2:49" ht="15.75" x14ac:dyDescent="0.25">
      <c r="B131" s="84"/>
      <c r="C131" s="192"/>
      <c r="D131" s="25"/>
      <c r="E131" s="237"/>
      <c r="F131" s="113"/>
      <c r="G131" s="113"/>
      <c r="H131" s="28"/>
      <c r="I131" s="27"/>
      <c r="J131" s="118"/>
      <c r="K131" s="113"/>
      <c r="L131" s="28"/>
      <c r="M131" s="27"/>
      <c r="N131" s="28"/>
      <c r="O131" s="72"/>
      <c r="P131" s="72"/>
      <c r="Q131" s="27"/>
      <c r="R131" s="157"/>
      <c r="S131" s="73"/>
      <c r="T131" s="25"/>
      <c r="U131" s="235"/>
      <c r="V131" s="25"/>
      <c r="W131" s="25"/>
      <c r="X131" s="25"/>
      <c r="Y131" s="29"/>
      <c r="Z131" s="160"/>
      <c r="AA131" s="279"/>
      <c r="AB131" s="76"/>
      <c r="AC131" s="281"/>
      <c r="AD131" s="161"/>
      <c r="AE131" s="163"/>
      <c r="AF131" s="76"/>
      <c r="AG131" s="161"/>
      <c r="AH131" s="173"/>
      <c r="AI131" s="167"/>
      <c r="AJ131" s="174"/>
      <c r="AK131" s="167"/>
      <c r="AL131" s="167"/>
      <c r="AM131" s="167"/>
      <c r="AN131" s="167"/>
      <c r="AO131" s="167"/>
      <c r="AP131" s="167"/>
      <c r="AQ131" s="157"/>
      <c r="AR131" s="284"/>
      <c r="AS131" s="284"/>
      <c r="AT131" s="284"/>
      <c r="AU131" s="284"/>
      <c r="AV131" s="184"/>
      <c r="AW131" s="186"/>
    </row>
    <row r="132" spans="2:49" ht="15.75" x14ac:dyDescent="0.25">
      <c r="B132" s="84"/>
      <c r="C132" s="192"/>
      <c r="D132" s="25"/>
      <c r="E132" s="237"/>
      <c r="F132" s="113"/>
      <c r="G132" s="113"/>
      <c r="H132" s="28"/>
      <c r="I132" s="27"/>
      <c r="J132" s="118"/>
      <c r="K132" s="113"/>
      <c r="L132" s="28"/>
      <c r="M132" s="27"/>
      <c r="N132" s="28"/>
      <c r="O132" s="72"/>
      <c r="P132" s="72"/>
      <c r="Q132" s="27"/>
      <c r="R132" s="157"/>
      <c r="S132" s="73"/>
      <c r="T132" s="25"/>
      <c r="U132" s="235"/>
      <c r="V132" s="25"/>
      <c r="W132" s="25"/>
      <c r="X132" s="25"/>
      <c r="Y132" s="29"/>
      <c r="Z132" s="160"/>
      <c r="AA132" s="279"/>
      <c r="AB132" s="76"/>
      <c r="AC132" s="281"/>
      <c r="AD132" s="161"/>
      <c r="AE132" s="163"/>
      <c r="AF132" s="76"/>
      <c r="AG132" s="161"/>
      <c r="AH132" s="173"/>
      <c r="AI132" s="167"/>
      <c r="AJ132" s="174"/>
      <c r="AK132" s="167"/>
      <c r="AL132" s="167"/>
      <c r="AM132" s="167"/>
      <c r="AN132" s="167"/>
      <c r="AO132" s="167"/>
      <c r="AP132" s="167"/>
      <c r="AQ132" s="157"/>
      <c r="AR132" s="284"/>
      <c r="AS132" s="284"/>
      <c r="AT132" s="284"/>
      <c r="AU132" s="284"/>
      <c r="AV132" s="184"/>
      <c r="AW132" s="186"/>
    </row>
    <row r="133" spans="2:49" ht="15.75" x14ac:dyDescent="0.25">
      <c r="B133" s="84"/>
      <c r="C133" s="192"/>
      <c r="D133" s="25"/>
      <c r="E133" s="237"/>
      <c r="F133" s="113"/>
      <c r="G133" s="113"/>
      <c r="H133" s="28"/>
      <c r="I133" s="27"/>
      <c r="J133" s="118"/>
      <c r="K133" s="113"/>
      <c r="L133" s="28"/>
      <c r="M133" s="27"/>
      <c r="N133" s="28"/>
      <c r="O133" s="72"/>
      <c r="P133" s="72"/>
      <c r="Q133" s="27"/>
      <c r="R133" s="157"/>
      <c r="S133" s="73"/>
      <c r="T133" s="25"/>
      <c r="U133" s="235"/>
      <c r="V133" s="25"/>
      <c r="W133" s="25"/>
      <c r="X133" s="25"/>
      <c r="Y133" s="29"/>
      <c r="Z133" s="160"/>
      <c r="AA133" s="279"/>
      <c r="AB133" s="76"/>
      <c r="AC133" s="281"/>
      <c r="AD133" s="161"/>
      <c r="AE133" s="163"/>
      <c r="AF133" s="76"/>
      <c r="AG133" s="161"/>
      <c r="AH133" s="173"/>
      <c r="AI133" s="167"/>
      <c r="AJ133" s="174"/>
      <c r="AK133" s="167"/>
      <c r="AL133" s="167"/>
      <c r="AM133" s="167"/>
      <c r="AN133" s="167"/>
      <c r="AO133" s="167"/>
      <c r="AP133" s="167"/>
      <c r="AQ133" s="157"/>
      <c r="AR133" s="284"/>
      <c r="AS133" s="284"/>
      <c r="AT133" s="284"/>
      <c r="AU133" s="284"/>
      <c r="AV133" s="184"/>
      <c r="AW133" s="186"/>
    </row>
    <row r="134" spans="2:49" ht="15.75" x14ac:dyDescent="0.25">
      <c r="B134" s="84"/>
      <c r="C134" s="192"/>
      <c r="D134" s="25"/>
      <c r="E134" s="72"/>
      <c r="F134" s="113"/>
      <c r="G134" s="113"/>
      <c r="H134" s="28"/>
      <c r="I134" s="27"/>
      <c r="J134" s="118"/>
      <c r="K134" s="113"/>
      <c r="L134" s="28"/>
      <c r="M134" s="27"/>
      <c r="N134" s="28"/>
      <c r="O134" s="72"/>
      <c r="P134" s="72"/>
      <c r="Q134" s="27"/>
      <c r="R134" s="157"/>
      <c r="S134" s="73"/>
      <c r="T134" s="25"/>
      <c r="U134" s="235"/>
      <c r="V134" s="25"/>
      <c r="W134" s="25"/>
      <c r="X134" s="25"/>
      <c r="Y134" s="29"/>
      <c r="Z134" s="160"/>
      <c r="AA134" s="279"/>
      <c r="AB134" s="76"/>
      <c r="AC134" s="281"/>
      <c r="AD134" s="161"/>
      <c r="AE134" s="163"/>
      <c r="AF134" s="76"/>
      <c r="AG134" s="161"/>
      <c r="AH134" s="173"/>
      <c r="AI134" s="167"/>
      <c r="AJ134" s="174"/>
      <c r="AK134" s="167"/>
      <c r="AL134" s="167"/>
      <c r="AM134" s="167"/>
      <c r="AN134" s="167"/>
      <c r="AO134" s="167"/>
      <c r="AP134" s="167"/>
      <c r="AQ134" s="157"/>
      <c r="AR134" s="284"/>
      <c r="AS134" s="284"/>
      <c r="AT134" s="284"/>
      <c r="AU134" s="284"/>
      <c r="AV134" s="184"/>
      <c r="AW134" s="186"/>
    </row>
    <row r="135" spans="2:49" ht="15.75" x14ac:dyDescent="0.25">
      <c r="B135" s="84"/>
      <c r="C135" s="192"/>
      <c r="D135" s="25"/>
      <c r="E135" s="237"/>
      <c r="F135" s="113"/>
      <c r="G135" s="113"/>
      <c r="H135" s="28"/>
      <c r="I135" s="27"/>
      <c r="J135" s="118"/>
      <c r="K135" s="113"/>
      <c r="L135" s="28"/>
      <c r="M135" s="27"/>
      <c r="N135" s="28"/>
      <c r="O135" s="72"/>
      <c r="P135" s="72"/>
      <c r="Q135" s="27"/>
      <c r="R135" s="157"/>
      <c r="S135" s="73"/>
      <c r="T135" s="25"/>
      <c r="U135" s="235"/>
      <c r="V135" s="25"/>
      <c r="W135" s="25"/>
      <c r="X135" s="25"/>
      <c r="Y135" s="29"/>
      <c r="Z135" s="160"/>
      <c r="AA135" s="279"/>
      <c r="AB135" s="76"/>
      <c r="AC135" s="281"/>
      <c r="AD135" s="161"/>
      <c r="AE135" s="163"/>
      <c r="AF135" s="76"/>
      <c r="AG135" s="161"/>
      <c r="AH135" s="173"/>
      <c r="AI135" s="167"/>
      <c r="AJ135" s="174"/>
      <c r="AK135" s="167"/>
      <c r="AL135" s="167"/>
      <c r="AM135" s="167"/>
      <c r="AN135" s="167"/>
      <c r="AO135" s="167"/>
      <c r="AP135" s="167"/>
      <c r="AQ135" s="157"/>
      <c r="AR135" s="284"/>
      <c r="AS135" s="284"/>
      <c r="AT135" s="284"/>
      <c r="AU135" s="284"/>
      <c r="AV135" s="184"/>
      <c r="AW135" s="186"/>
    </row>
    <row r="136" spans="2:49" ht="15.75" x14ac:dyDescent="0.25">
      <c r="B136" s="84"/>
      <c r="C136" s="192"/>
      <c r="D136" s="25"/>
      <c r="E136" s="237"/>
      <c r="F136" s="113"/>
      <c r="G136" s="113"/>
      <c r="H136" s="28"/>
      <c r="I136" s="27"/>
      <c r="J136" s="118"/>
      <c r="K136" s="113"/>
      <c r="L136" s="28"/>
      <c r="M136" s="27"/>
      <c r="N136" s="28"/>
      <c r="O136" s="72"/>
      <c r="P136" s="72"/>
      <c r="Q136" s="27"/>
      <c r="R136" s="157"/>
      <c r="S136" s="73"/>
      <c r="T136" s="25"/>
      <c r="U136" s="235"/>
      <c r="V136" s="25"/>
      <c r="W136" s="25"/>
      <c r="X136" s="25"/>
      <c r="Y136" s="29"/>
      <c r="Z136" s="160"/>
      <c r="AA136" s="279"/>
      <c r="AB136" s="76"/>
      <c r="AC136" s="281"/>
      <c r="AD136" s="161"/>
      <c r="AE136" s="163"/>
      <c r="AF136" s="76"/>
      <c r="AG136" s="161"/>
      <c r="AH136" s="173"/>
      <c r="AI136" s="167"/>
      <c r="AJ136" s="174"/>
      <c r="AK136" s="167"/>
      <c r="AL136" s="167"/>
      <c r="AM136" s="167"/>
      <c r="AN136" s="167"/>
      <c r="AO136" s="167"/>
      <c r="AP136" s="167"/>
      <c r="AQ136" s="157"/>
      <c r="AR136" s="284"/>
      <c r="AS136" s="284"/>
      <c r="AT136" s="284"/>
      <c r="AU136" s="284"/>
      <c r="AV136" s="184"/>
      <c r="AW136" s="186"/>
    </row>
    <row r="137" spans="2:49" ht="15.75" x14ac:dyDescent="0.25">
      <c r="B137" s="84"/>
      <c r="C137" s="192"/>
      <c r="D137" s="25"/>
      <c r="E137" s="237"/>
      <c r="F137" s="113"/>
      <c r="G137" s="113"/>
      <c r="H137" s="28"/>
      <c r="I137" s="27"/>
      <c r="J137" s="118"/>
      <c r="K137" s="113"/>
      <c r="L137" s="28"/>
      <c r="M137" s="27"/>
      <c r="N137" s="28"/>
      <c r="O137" s="72"/>
      <c r="P137" s="72"/>
      <c r="Q137" s="27"/>
      <c r="R137" s="157"/>
      <c r="S137" s="73"/>
      <c r="T137" s="25"/>
      <c r="U137" s="235"/>
      <c r="V137" s="25"/>
      <c r="W137" s="25"/>
      <c r="X137" s="25"/>
      <c r="Y137" s="29"/>
      <c r="Z137" s="160"/>
      <c r="AA137" s="279"/>
      <c r="AB137" s="76"/>
      <c r="AC137" s="281"/>
      <c r="AD137" s="161"/>
      <c r="AE137" s="163"/>
      <c r="AF137" s="76"/>
      <c r="AG137" s="161"/>
      <c r="AH137" s="173"/>
      <c r="AI137" s="167"/>
      <c r="AJ137" s="174"/>
      <c r="AK137" s="167"/>
      <c r="AL137" s="167"/>
      <c r="AM137" s="167"/>
      <c r="AN137" s="167"/>
      <c r="AO137" s="167"/>
      <c r="AP137" s="167"/>
      <c r="AQ137" s="157"/>
      <c r="AR137" s="284"/>
      <c r="AS137" s="284"/>
      <c r="AT137" s="284"/>
      <c r="AU137" s="284"/>
      <c r="AV137" s="184"/>
      <c r="AW137" s="186"/>
    </row>
    <row r="138" spans="2:49" ht="15.75" x14ac:dyDescent="0.25">
      <c r="B138" s="84"/>
      <c r="C138" s="192"/>
      <c r="D138" s="25"/>
      <c r="E138" s="237"/>
      <c r="F138" s="113"/>
      <c r="G138" s="113"/>
      <c r="H138" s="28"/>
      <c r="I138" s="27"/>
      <c r="J138" s="118"/>
      <c r="K138" s="113"/>
      <c r="L138" s="28"/>
      <c r="M138" s="27"/>
      <c r="N138" s="28"/>
      <c r="O138" s="72"/>
      <c r="P138" s="72"/>
      <c r="Q138" s="27"/>
      <c r="R138" s="157"/>
      <c r="S138" s="73"/>
      <c r="T138" s="25"/>
      <c r="U138" s="235"/>
      <c r="V138" s="25"/>
      <c r="W138" s="25"/>
      <c r="X138" s="25"/>
      <c r="Y138" s="29"/>
      <c r="Z138" s="160"/>
      <c r="AA138" s="279"/>
      <c r="AB138" s="76"/>
      <c r="AC138" s="281"/>
      <c r="AD138" s="161"/>
      <c r="AE138" s="163"/>
      <c r="AF138" s="76"/>
      <c r="AG138" s="161"/>
      <c r="AH138" s="173"/>
      <c r="AI138" s="167"/>
      <c r="AJ138" s="174"/>
      <c r="AK138" s="167"/>
      <c r="AL138" s="167"/>
      <c r="AM138" s="167"/>
      <c r="AN138" s="167"/>
      <c r="AO138" s="167"/>
      <c r="AP138" s="167"/>
      <c r="AQ138" s="157"/>
      <c r="AR138" s="284"/>
      <c r="AS138" s="284"/>
      <c r="AT138" s="284"/>
      <c r="AU138" s="284"/>
      <c r="AV138" s="184"/>
      <c r="AW138" s="186"/>
    </row>
    <row r="139" spans="2:49" ht="15.75" x14ac:dyDescent="0.25">
      <c r="B139" s="84"/>
      <c r="C139" s="192"/>
      <c r="D139" s="25"/>
      <c r="E139" s="72"/>
      <c r="F139" s="113"/>
      <c r="G139" s="113"/>
      <c r="H139" s="28"/>
      <c r="I139" s="27"/>
      <c r="J139" s="118"/>
      <c r="K139" s="113"/>
      <c r="L139" s="28"/>
      <c r="M139" s="27"/>
      <c r="N139" s="28"/>
      <c r="O139" s="72"/>
      <c r="P139" s="72"/>
      <c r="Q139" s="27"/>
      <c r="R139" s="157"/>
      <c r="S139" s="73"/>
      <c r="T139" s="25"/>
      <c r="U139" s="235"/>
      <c r="V139" s="25"/>
      <c r="W139" s="25"/>
      <c r="X139" s="25"/>
      <c r="Y139" s="29"/>
      <c r="Z139" s="160"/>
      <c r="AA139" s="279"/>
      <c r="AB139" s="76"/>
      <c r="AC139" s="281"/>
      <c r="AD139" s="161"/>
      <c r="AE139" s="163"/>
      <c r="AF139" s="76"/>
      <c r="AG139" s="161"/>
      <c r="AH139" s="173"/>
      <c r="AI139" s="167"/>
      <c r="AJ139" s="174"/>
      <c r="AK139" s="167"/>
      <c r="AL139" s="167"/>
      <c r="AM139" s="167"/>
      <c r="AN139" s="167"/>
      <c r="AO139" s="167"/>
      <c r="AP139" s="167"/>
      <c r="AQ139" s="157"/>
      <c r="AR139" s="284"/>
      <c r="AS139" s="284"/>
      <c r="AT139" s="284"/>
      <c r="AU139" s="284"/>
      <c r="AV139" s="184"/>
      <c r="AW139" s="186"/>
    </row>
    <row r="140" spans="2:49" ht="15.75" x14ac:dyDescent="0.25">
      <c r="B140" s="84"/>
      <c r="C140" s="192"/>
      <c r="D140" s="25"/>
      <c r="E140" s="237"/>
      <c r="F140" s="113"/>
      <c r="G140" s="113"/>
      <c r="H140" s="28"/>
      <c r="I140" s="27"/>
      <c r="J140" s="118"/>
      <c r="K140" s="113"/>
      <c r="L140" s="28"/>
      <c r="M140" s="27"/>
      <c r="N140" s="28"/>
      <c r="O140" s="72"/>
      <c r="P140" s="72"/>
      <c r="Q140" s="27"/>
      <c r="R140" s="157"/>
      <c r="S140" s="73"/>
      <c r="T140" s="25"/>
      <c r="U140" s="235"/>
      <c r="V140" s="25"/>
      <c r="W140" s="25"/>
      <c r="X140" s="25"/>
      <c r="Y140" s="29"/>
      <c r="Z140" s="160"/>
      <c r="AA140" s="279"/>
      <c r="AB140" s="76"/>
      <c r="AC140" s="281"/>
      <c r="AD140" s="161"/>
      <c r="AE140" s="163"/>
      <c r="AF140" s="76"/>
      <c r="AG140" s="161"/>
      <c r="AH140" s="173"/>
      <c r="AI140" s="167"/>
      <c r="AJ140" s="174"/>
      <c r="AK140" s="167"/>
      <c r="AL140" s="167"/>
      <c r="AM140" s="167"/>
      <c r="AN140" s="167"/>
      <c r="AO140" s="167"/>
      <c r="AP140" s="167"/>
      <c r="AQ140" s="157"/>
      <c r="AR140" s="284"/>
      <c r="AS140" s="284"/>
      <c r="AT140" s="284"/>
      <c r="AU140" s="284"/>
      <c r="AV140" s="184"/>
      <c r="AW140" s="186"/>
    </row>
    <row r="141" spans="2:49" ht="15.75" x14ac:dyDescent="0.25">
      <c r="B141" s="84"/>
      <c r="C141" s="192"/>
      <c r="D141" s="25"/>
      <c r="E141" s="238"/>
      <c r="F141" s="113"/>
      <c r="G141" s="113"/>
      <c r="H141" s="28"/>
      <c r="I141" s="27"/>
      <c r="J141" s="118"/>
      <c r="K141" s="113"/>
      <c r="L141" s="28"/>
      <c r="M141" s="27"/>
      <c r="N141" s="28"/>
      <c r="O141" s="72"/>
      <c r="P141" s="72"/>
      <c r="Q141" s="27"/>
      <c r="R141" s="157"/>
      <c r="S141" s="73"/>
      <c r="T141" s="25"/>
      <c r="U141" s="235"/>
      <c r="V141" s="25"/>
      <c r="W141" s="25"/>
      <c r="X141" s="25"/>
      <c r="Y141" s="29"/>
      <c r="Z141" s="160"/>
      <c r="AA141" s="279"/>
      <c r="AB141" s="76"/>
      <c r="AC141" s="281"/>
      <c r="AD141" s="161"/>
      <c r="AE141" s="163"/>
      <c r="AF141" s="76"/>
      <c r="AG141" s="161"/>
      <c r="AH141" s="173"/>
      <c r="AI141" s="167"/>
      <c r="AJ141" s="174"/>
      <c r="AK141" s="167"/>
      <c r="AL141" s="167"/>
      <c r="AM141" s="167"/>
      <c r="AN141" s="167"/>
      <c r="AO141" s="167"/>
      <c r="AP141" s="167"/>
      <c r="AQ141" s="157"/>
      <c r="AR141" s="284"/>
      <c r="AS141" s="284"/>
      <c r="AT141" s="284"/>
      <c r="AU141" s="284"/>
      <c r="AV141" s="184"/>
      <c r="AW141" s="186"/>
    </row>
    <row r="142" spans="2:49" ht="15.75" x14ac:dyDescent="0.25">
      <c r="B142" s="84"/>
      <c r="C142" s="192"/>
      <c r="D142" s="25"/>
      <c r="E142" s="238"/>
      <c r="F142" s="113"/>
      <c r="G142" s="113"/>
      <c r="H142" s="28"/>
      <c r="I142" s="27"/>
      <c r="J142" s="118"/>
      <c r="K142" s="113"/>
      <c r="L142" s="28"/>
      <c r="M142" s="27"/>
      <c r="N142" s="28"/>
      <c r="O142" s="72"/>
      <c r="P142" s="72"/>
      <c r="Q142" s="27"/>
      <c r="R142" s="157"/>
      <c r="S142" s="73"/>
      <c r="T142" s="25"/>
      <c r="U142" s="235"/>
      <c r="V142" s="25"/>
      <c r="W142" s="25"/>
      <c r="X142" s="25"/>
      <c r="Y142" s="29"/>
      <c r="Z142" s="160"/>
      <c r="AA142" s="279"/>
      <c r="AB142" s="76"/>
      <c r="AC142" s="281"/>
      <c r="AD142" s="161"/>
      <c r="AE142" s="163"/>
      <c r="AF142" s="76"/>
      <c r="AG142" s="161"/>
      <c r="AH142" s="173"/>
      <c r="AI142" s="167"/>
      <c r="AJ142" s="174"/>
      <c r="AK142" s="167"/>
      <c r="AL142" s="167"/>
      <c r="AM142" s="167"/>
      <c r="AN142" s="167"/>
      <c r="AO142" s="167"/>
      <c r="AP142" s="167"/>
      <c r="AQ142" s="157"/>
      <c r="AR142" s="284"/>
      <c r="AS142" s="284"/>
      <c r="AT142" s="284"/>
      <c r="AU142" s="284"/>
      <c r="AV142" s="184"/>
      <c r="AW142" s="186"/>
    </row>
    <row r="143" spans="2:49" ht="15.75" x14ac:dyDescent="0.25">
      <c r="B143" s="84"/>
      <c r="C143" s="192"/>
      <c r="D143" s="25"/>
      <c r="E143" s="237"/>
      <c r="F143" s="113"/>
      <c r="G143" s="113"/>
      <c r="H143" s="28"/>
      <c r="I143" s="27"/>
      <c r="J143" s="118"/>
      <c r="K143" s="113"/>
      <c r="L143" s="28"/>
      <c r="M143" s="27"/>
      <c r="N143" s="28"/>
      <c r="O143" s="72"/>
      <c r="P143" s="72"/>
      <c r="Q143" s="27"/>
      <c r="R143" s="157"/>
      <c r="S143" s="73"/>
      <c r="T143" s="25"/>
      <c r="U143" s="235"/>
      <c r="V143" s="25"/>
      <c r="W143" s="25"/>
      <c r="X143" s="25"/>
      <c r="Y143" s="29"/>
      <c r="Z143" s="160"/>
      <c r="AA143" s="279"/>
      <c r="AB143" s="76"/>
      <c r="AC143" s="281"/>
      <c r="AD143" s="161"/>
      <c r="AE143" s="163"/>
      <c r="AF143" s="76"/>
      <c r="AG143" s="161"/>
      <c r="AH143" s="173"/>
      <c r="AI143" s="167"/>
      <c r="AJ143" s="174"/>
      <c r="AK143" s="167"/>
      <c r="AL143" s="167"/>
      <c r="AM143" s="167"/>
      <c r="AN143" s="167"/>
      <c r="AO143" s="167"/>
      <c r="AP143" s="167"/>
      <c r="AQ143" s="157"/>
      <c r="AR143" s="284"/>
      <c r="AS143" s="284"/>
      <c r="AT143" s="284"/>
      <c r="AU143" s="284"/>
      <c r="AV143" s="184"/>
      <c r="AW143" s="186"/>
    </row>
    <row r="144" spans="2:49" ht="15.75" x14ac:dyDescent="0.25">
      <c r="B144" s="84"/>
      <c r="C144" s="192"/>
      <c r="D144" s="25"/>
      <c r="E144" s="237"/>
      <c r="F144" s="113"/>
      <c r="G144" s="113"/>
      <c r="H144" s="28"/>
      <c r="I144" s="27"/>
      <c r="J144" s="118"/>
      <c r="K144" s="113"/>
      <c r="L144" s="28"/>
      <c r="M144" s="27"/>
      <c r="N144" s="28"/>
      <c r="O144" s="72"/>
      <c r="P144" s="72"/>
      <c r="Q144" s="27"/>
      <c r="R144" s="157"/>
      <c r="S144" s="73"/>
      <c r="T144" s="25"/>
      <c r="U144" s="235"/>
      <c r="V144" s="25"/>
      <c r="W144" s="25"/>
      <c r="X144" s="25"/>
      <c r="Y144" s="29"/>
      <c r="Z144" s="160"/>
      <c r="AA144" s="279"/>
      <c r="AB144" s="76"/>
      <c r="AC144" s="281"/>
      <c r="AD144" s="161"/>
      <c r="AE144" s="163"/>
      <c r="AF144" s="76"/>
      <c r="AG144" s="161"/>
      <c r="AH144" s="173"/>
      <c r="AI144" s="167"/>
      <c r="AJ144" s="174"/>
      <c r="AK144" s="167"/>
      <c r="AL144" s="167"/>
      <c r="AM144" s="167"/>
      <c r="AN144" s="167"/>
      <c r="AO144" s="167"/>
      <c r="AP144" s="167"/>
      <c r="AQ144" s="157"/>
      <c r="AR144" s="284"/>
      <c r="AS144" s="284"/>
      <c r="AT144" s="284"/>
      <c r="AU144" s="284"/>
      <c r="AV144" s="184"/>
      <c r="AW144" s="186"/>
    </row>
    <row r="145" spans="2:49" ht="15.75" x14ac:dyDescent="0.25">
      <c r="B145" s="84"/>
      <c r="C145" s="192"/>
      <c r="D145" s="25"/>
      <c r="E145" s="72"/>
      <c r="F145" s="113"/>
      <c r="G145" s="113"/>
      <c r="H145" s="28"/>
      <c r="I145" s="27"/>
      <c r="J145" s="118"/>
      <c r="K145" s="113"/>
      <c r="L145" s="28"/>
      <c r="M145" s="27"/>
      <c r="N145" s="28"/>
      <c r="O145" s="72"/>
      <c r="P145" s="72"/>
      <c r="Q145" s="27"/>
      <c r="R145" s="157"/>
      <c r="S145" s="73"/>
      <c r="T145" s="25"/>
      <c r="U145" s="235"/>
      <c r="V145" s="25"/>
      <c r="W145" s="25"/>
      <c r="X145" s="25"/>
      <c r="Y145" s="29"/>
      <c r="Z145" s="160"/>
      <c r="AA145" s="279"/>
      <c r="AB145" s="76"/>
      <c r="AC145" s="281"/>
      <c r="AD145" s="161"/>
      <c r="AE145" s="163"/>
      <c r="AF145" s="76"/>
      <c r="AG145" s="161"/>
      <c r="AH145" s="173"/>
      <c r="AI145" s="167"/>
      <c r="AJ145" s="174"/>
      <c r="AK145" s="167"/>
      <c r="AL145" s="167"/>
      <c r="AM145" s="167"/>
      <c r="AN145" s="167"/>
      <c r="AO145" s="167"/>
      <c r="AP145" s="167"/>
      <c r="AQ145" s="157"/>
      <c r="AR145" s="284"/>
      <c r="AS145" s="284"/>
      <c r="AT145" s="284"/>
      <c r="AU145" s="284"/>
      <c r="AV145" s="184"/>
      <c r="AW145" s="186"/>
    </row>
    <row r="146" spans="2:49" ht="15.75" x14ac:dyDescent="0.25">
      <c r="B146" s="84"/>
      <c r="C146" s="192"/>
      <c r="D146" s="25"/>
      <c r="E146" s="237"/>
      <c r="F146" s="113"/>
      <c r="G146" s="113"/>
      <c r="H146" s="28"/>
      <c r="I146" s="27"/>
      <c r="J146" s="118"/>
      <c r="K146" s="113"/>
      <c r="L146" s="28"/>
      <c r="M146" s="27"/>
      <c r="N146" s="28"/>
      <c r="O146" s="72"/>
      <c r="P146" s="72"/>
      <c r="Q146" s="27"/>
      <c r="R146" s="157"/>
      <c r="S146" s="73"/>
      <c r="T146" s="25"/>
      <c r="U146" s="235"/>
      <c r="V146" s="25"/>
      <c r="W146" s="25"/>
      <c r="X146" s="25"/>
      <c r="Y146" s="29"/>
      <c r="Z146" s="160"/>
      <c r="AA146" s="279"/>
      <c r="AB146" s="76"/>
      <c r="AC146" s="281"/>
      <c r="AD146" s="161"/>
      <c r="AE146" s="163"/>
      <c r="AF146" s="76"/>
      <c r="AG146" s="161"/>
      <c r="AH146" s="173"/>
      <c r="AI146" s="167"/>
      <c r="AJ146" s="174"/>
      <c r="AK146" s="167"/>
      <c r="AL146" s="167"/>
      <c r="AM146" s="167"/>
      <c r="AN146" s="167"/>
      <c r="AO146" s="167"/>
      <c r="AP146" s="167"/>
      <c r="AQ146" s="157"/>
      <c r="AR146" s="284"/>
      <c r="AS146" s="284"/>
      <c r="AT146" s="284"/>
      <c r="AU146" s="284"/>
      <c r="AV146" s="184"/>
      <c r="AW146" s="186"/>
    </row>
    <row r="147" spans="2:49" ht="15.75" x14ac:dyDescent="0.25">
      <c r="B147" s="84"/>
      <c r="C147" s="192"/>
      <c r="D147" s="25"/>
      <c r="E147" s="237"/>
      <c r="F147" s="113"/>
      <c r="G147" s="113"/>
      <c r="H147" s="28"/>
      <c r="I147" s="27"/>
      <c r="J147" s="118"/>
      <c r="K147" s="113"/>
      <c r="L147" s="28"/>
      <c r="M147" s="27"/>
      <c r="N147" s="28"/>
      <c r="O147" s="72"/>
      <c r="P147" s="72"/>
      <c r="Q147" s="27"/>
      <c r="R147" s="157"/>
      <c r="S147" s="73"/>
      <c r="T147" s="25"/>
      <c r="U147" s="235"/>
      <c r="V147" s="25"/>
      <c r="W147" s="25"/>
      <c r="X147" s="25"/>
      <c r="Y147" s="29"/>
      <c r="Z147" s="160"/>
      <c r="AA147" s="279"/>
      <c r="AB147" s="76"/>
      <c r="AC147" s="281"/>
      <c r="AD147" s="161"/>
      <c r="AE147" s="163"/>
      <c r="AF147" s="76"/>
      <c r="AG147" s="161"/>
      <c r="AH147" s="173"/>
      <c r="AI147" s="167"/>
      <c r="AJ147" s="174"/>
      <c r="AK147" s="167"/>
      <c r="AL147" s="167"/>
      <c r="AM147" s="167"/>
      <c r="AN147" s="167"/>
      <c r="AO147" s="167"/>
      <c r="AP147" s="167"/>
      <c r="AQ147" s="157"/>
      <c r="AR147" s="284"/>
      <c r="AS147" s="284"/>
      <c r="AT147" s="284"/>
      <c r="AU147" s="284"/>
      <c r="AV147" s="184"/>
      <c r="AW147" s="186"/>
    </row>
    <row r="148" spans="2:49" ht="15.75" x14ac:dyDescent="0.25">
      <c r="B148" s="84"/>
      <c r="C148" s="192"/>
      <c r="D148" s="25"/>
      <c r="E148" s="237"/>
      <c r="F148" s="113"/>
      <c r="G148" s="113"/>
      <c r="H148" s="28"/>
      <c r="I148" s="27"/>
      <c r="J148" s="118"/>
      <c r="K148" s="113"/>
      <c r="L148" s="28"/>
      <c r="M148" s="27"/>
      <c r="N148" s="28"/>
      <c r="O148" s="72"/>
      <c r="P148" s="72"/>
      <c r="Q148" s="27"/>
      <c r="R148" s="157"/>
      <c r="S148" s="73"/>
      <c r="T148" s="25"/>
      <c r="U148" s="235"/>
      <c r="V148" s="25"/>
      <c r="W148" s="25"/>
      <c r="X148" s="25"/>
      <c r="Y148" s="29"/>
      <c r="Z148" s="160"/>
      <c r="AA148" s="279"/>
      <c r="AB148" s="76"/>
      <c r="AC148" s="281"/>
      <c r="AD148" s="161"/>
      <c r="AE148" s="163"/>
      <c r="AF148" s="76"/>
      <c r="AG148" s="161"/>
      <c r="AH148" s="173"/>
      <c r="AI148" s="167"/>
      <c r="AJ148" s="174"/>
      <c r="AK148" s="167"/>
      <c r="AL148" s="167"/>
      <c r="AM148" s="167"/>
      <c r="AN148" s="167"/>
      <c r="AO148" s="167"/>
      <c r="AP148" s="167"/>
      <c r="AQ148" s="157"/>
      <c r="AR148" s="284"/>
      <c r="AS148" s="284"/>
      <c r="AT148" s="284"/>
      <c r="AU148" s="284"/>
      <c r="AV148" s="184"/>
      <c r="AW148" s="186"/>
    </row>
    <row r="149" spans="2:49" ht="15.75" x14ac:dyDescent="0.25">
      <c r="B149" s="84"/>
      <c r="C149" s="192"/>
      <c r="D149" s="25"/>
      <c r="E149" s="72"/>
      <c r="F149" s="113"/>
      <c r="G149" s="113"/>
      <c r="H149" s="28"/>
      <c r="I149" s="27"/>
      <c r="J149" s="118"/>
      <c r="K149" s="113"/>
      <c r="L149" s="28"/>
      <c r="M149" s="27"/>
      <c r="N149" s="28"/>
      <c r="O149" s="72"/>
      <c r="P149" s="72"/>
      <c r="Q149" s="27"/>
      <c r="R149" s="157"/>
      <c r="S149" s="73"/>
      <c r="T149" s="25"/>
      <c r="U149" s="235"/>
      <c r="V149" s="25"/>
      <c r="W149" s="25"/>
      <c r="X149" s="25"/>
      <c r="Y149" s="29"/>
      <c r="Z149" s="160"/>
      <c r="AA149" s="279"/>
      <c r="AB149" s="76"/>
      <c r="AC149" s="281"/>
      <c r="AD149" s="161"/>
      <c r="AE149" s="163"/>
      <c r="AF149" s="76"/>
      <c r="AG149" s="161"/>
      <c r="AH149" s="173"/>
      <c r="AI149" s="167"/>
      <c r="AJ149" s="174"/>
      <c r="AK149" s="167"/>
      <c r="AL149" s="167"/>
      <c r="AM149" s="167"/>
      <c r="AN149" s="167"/>
      <c r="AO149" s="167"/>
      <c r="AP149" s="167"/>
      <c r="AQ149" s="157"/>
      <c r="AR149" s="284"/>
      <c r="AS149" s="284"/>
      <c r="AT149" s="284"/>
      <c r="AU149" s="284"/>
      <c r="AV149" s="184"/>
      <c r="AW149" s="186"/>
    </row>
    <row r="150" spans="2:49" ht="15.75" x14ac:dyDescent="0.25">
      <c r="B150" s="84"/>
      <c r="C150" s="192"/>
      <c r="D150" s="25"/>
      <c r="E150" s="237"/>
      <c r="F150" s="113"/>
      <c r="G150" s="113"/>
      <c r="H150" s="28"/>
      <c r="I150" s="27"/>
      <c r="J150" s="118"/>
      <c r="K150" s="113"/>
      <c r="L150" s="28"/>
      <c r="M150" s="27"/>
      <c r="N150" s="28"/>
      <c r="O150" s="72"/>
      <c r="P150" s="72"/>
      <c r="Q150" s="27"/>
      <c r="R150" s="157"/>
      <c r="S150" s="73"/>
      <c r="T150" s="25"/>
      <c r="U150" s="235"/>
      <c r="V150" s="25"/>
      <c r="W150" s="25"/>
      <c r="X150" s="25"/>
      <c r="Y150" s="29"/>
      <c r="Z150" s="160"/>
      <c r="AA150" s="279"/>
      <c r="AB150" s="76"/>
      <c r="AC150" s="281"/>
      <c r="AD150" s="161"/>
      <c r="AE150" s="163"/>
      <c r="AF150" s="76"/>
      <c r="AG150" s="161"/>
      <c r="AH150" s="173"/>
      <c r="AI150" s="167"/>
      <c r="AJ150" s="174"/>
      <c r="AK150" s="167"/>
      <c r="AL150" s="167"/>
      <c r="AM150" s="167"/>
      <c r="AN150" s="167"/>
      <c r="AO150" s="167"/>
      <c r="AP150" s="167"/>
      <c r="AQ150" s="157"/>
      <c r="AR150" s="284"/>
      <c r="AS150" s="284"/>
      <c r="AT150" s="284"/>
      <c r="AU150" s="284"/>
      <c r="AV150" s="184"/>
      <c r="AW150" s="186"/>
    </row>
    <row r="151" spans="2:49" ht="15.75" x14ac:dyDescent="0.25">
      <c r="B151" s="84"/>
      <c r="C151" s="192"/>
      <c r="D151" s="25"/>
      <c r="E151" s="237"/>
      <c r="F151" s="113"/>
      <c r="G151" s="113"/>
      <c r="H151" s="28"/>
      <c r="I151" s="27"/>
      <c r="J151" s="118"/>
      <c r="K151" s="113"/>
      <c r="L151" s="28"/>
      <c r="M151" s="27"/>
      <c r="N151" s="28"/>
      <c r="O151" s="72"/>
      <c r="P151" s="72"/>
      <c r="Q151" s="27"/>
      <c r="R151" s="157"/>
      <c r="S151" s="73"/>
      <c r="T151" s="25"/>
      <c r="U151" s="235"/>
      <c r="V151" s="25"/>
      <c r="W151" s="25"/>
      <c r="X151" s="25"/>
      <c r="Y151" s="29"/>
      <c r="Z151" s="160"/>
      <c r="AA151" s="279"/>
      <c r="AB151" s="76"/>
      <c r="AC151" s="281"/>
      <c r="AD151" s="161"/>
      <c r="AE151" s="163"/>
      <c r="AF151" s="76"/>
      <c r="AG151" s="161"/>
      <c r="AH151" s="173"/>
      <c r="AI151" s="167"/>
      <c r="AJ151" s="174"/>
      <c r="AK151" s="167"/>
      <c r="AL151" s="167"/>
      <c r="AM151" s="167"/>
      <c r="AN151" s="167"/>
      <c r="AO151" s="167"/>
      <c r="AP151" s="167"/>
      <c r="AQ151" s="157"/>
      <c r="AR151" s="284"/>
      <c r="AS151" s="284"/>
      <c r="AT151" s="284"/>
      <c r="AU151" s="284"/>
      <c r="AV151" s="184"/>
      <c r="AW151" s="186"/>
    </row>
    <row r="152" spans="2:49" ht="15.75" x14ac:dyDescent="0.25">
      <c r="B152" s="84"/>
      <c r="C152" s="192"/>
      <c r="D152" s="25"/>
      <c r="E152" s="237"/>
      <c r="F152" s="113"/>
      <c r="G152" s="113"/>
      <c r="H152" s="28"/>
      <c r="I152" s="27"/>
      <c r="J152" s="118"/>
      <c r="K152" s="113"/>
      <c r="L152" s="28"/>
      <c r="M152" s="27"/>
      <c r="N152" s="28"/>
      <c r="O152" s="72"/>
      <c r="P152" s="72"/>
      <c r="Q152" s="27"/>
      <c r="R152" s="157"/>
      <c r="S152" s="73"/>
      <c r="T152" s="25"/>
      <c r="U152" s="235"/>
      <c r="V152" s="25"/>
      <c r="W152" s="25"/>
      <c r="X152" s="25"/>
      <c r="Y152" s="29"/>
      <c r="Z152" s="160"/>
      <c r="AA152" s="279"/>
      <c r="AB152" s="76"/>
      <c r="AC152" s="281"/>
      <c r="AD152" s="161"/>
      <c r="AE152" s="163"/>
      <c r="AF152" s="76"/>
      <c r="AG152" s="161"/>
      <c r="AH152" s="173"/>
      <c r="AI152" s="167"/>
      <c r="AJ152" s="174"/>
      <c r="AK152" s="167"/>
      <c r="AL152" s="167"/>
      <c r="AM152" s="167"/>
      <c r="AN152" s="167"/>
      <c r="AO152" s="167"/>
      <c r="AP152" s="167"/>
      <c r="AQ152" s="157"/>
      <c r="AR152" s="284"/>
      <c r="AS152" s="284"/>
      <c r="AT152" s="284"/>
      <c r="AU152" s="284"/>
      <c r="AV152" s="184"/>
      <c r="AW152" s="186"/>
    </row>
    <row r="153" spans="2:49" ht="15.75" x14ac:dyDescent="0.25">
      <c r="B153" s="84"/>
      <c r="C153" s="192"/>
      <c r="D153" s="25"/>
      <c r="E153" s="237"/>
      <c r="F153" s="113"/>
      <c r="G153" s="113"/>
      <c r="H153" s="28"/>
      <c r="I153" s="27"/>
      <c r="J153" s="118"/>
      <c r="K153" s="113"/>
      <c r="L153" s="28"/>
      <c r="M153" s="27"/>
      <c r="N153" s="28"/>
      <c r="O153" s="72"/>
      <c r="P153" s="72"/>
      <c r="Q153" s="27"/>
      <c r="R153" s="157"/>
      <c r="S153" s="73"/>
      <c r="T153" s="25"/>
      <c r="U153" s="235"/>
      <c r="V153" s="25"/>
      <c r="W153" s="25"/>
      <c r="X153" s="25"/>
      <c r="Y153" s="29"/>
      <c r="Z153" s="160"/>
      <c r="AA153" s="279"/>
      <c r="AB153" s="76"/>
      <c r="AC153" s="281"/>
      <c r="AD153" s="161"/>
      <c r="AE153" s="163"/>
      <c r="AF153" s="76"/>
      <c r="AG153" s="161"/>
      <c r="AH153" s="173"/>
      <c r="AI153" s="167"/>
      <c r="AJ153" s="174"/>
      <c r="AK153" s="167"/>
      <c r="AL153" s="167"/>
      <c r="AM153" s="167"/>
      <c r="AN153" s="167"/>
      <c r="AO153" s="167"/>
      <c r="AP153" s="167"/>
      <c r="AQ153" s="157"/>
      <c r="AR153" s="284"/>
      <c r="AS153" s="284"/>
      <c r="AT153" s="284"/>
      <c r="AU153" s="284"/>
      <c r="AV153" s="184"/>
      <c r="AW153" s="186"/>
    </row>
    <row r="154" spans="2:49" ht="15.75" x14ac:dyDescent="0.25">
      <c r="B154" s="84"/>
      <c r="C154" s="192"/>
      <c r="D154" s="25"/>
      <c r="E154" s="237"/>
      <c r="F154" s="113"/>
      <c r="G154" s="113"/>
      <c r="H154" s="28"/>
      <c r="I154" s="27"/>
      <c r="J154" s="118"/>
      <c r="K154" s="113"/>
      <c r="L154" s="28"/>
      <c r="M154" s="27"/>
      <c r="N154" s="28"/>
      <c r="O154" s="72"/>
      <c r="P154" s="72"/>
      <c r="Q154" s="27"/>
      <c r="R154" s="157"/>
      <c r="S154" s="73"/>
      <c r="T154" s="25"/>
      <c r="U154" s="235"/>
      <c r="V154" s="25"/>
      <c r="W154" s="25"/>
      <c r="X154" s="25"/>
      <c r="Y154" s="29"/>
      <c r="Z154" s="160"/>
      <c r="AA154" s="279"/>
      <c r="AB154" s="76"/>
      <c r="AC154" s="281"/>
      <c r="AD154" s="161"/>
      <c r="AE154" s="163"/>
      <c r="AF154" s="76"/>
      <c r="AG154" s="161"/>
      <c r="AH154" s="173"/>
      <c r="AI154" s="167"/>
      <c r="AJ154" s="174"/>
      <c r="AK154" s="167"/>
      <c r="AL154" s="167"/>
      <c r="AM154" s="167"/>
      <c r="AN154" s="167"/>
      <c r="AO154" s="167"/>
      <c r="AP154" s="167"/>
      <c r="AQ154" s="157"/>
      <c r="AR154" s="284"/>
      <c r="AS154" s="284"/>
      <c r="AT154" s="284"/>
      <c r="AU154" s="284"/>
      <c r="AV154" s="184"/>
      <c r="AW154" s="186"/>
    </row>
    <row r="155" spans="2:49" ht="15.75" x14ac:dyDescent="0.25">
      <c r="B155" s="84"/>
      <c r="C155" s="192"/>
      <c r="D155" s="25"/>
      <c r="E155" s="237"/>
      <c r="F155" s="113"/>
      <c r="G155" s="113"/>
      <c r="H155" s="28"/>
      <c r="I155" s="27"/>
      <c r="J155" s="118"/>
      <c r="K155" s="113"/>
      <c r="L155" s="28"/>
      <c r="M155" s="27"/>
      <c r="N155" s="28"/>
      <c r="O155" s="72"/>
      <c r="P155" s="72"/>
      <c r="Q155" s="27"/>
      <c r="R155" s="157"/>
      <c r="S155" s="73"/>
      <c r="T155" s="25"/>
      <c r="U155" s="235"/>
      <c r="V155" s="25"/>
      <c r="W155" s="25"/>
      <c r="X155" s="25"/>
      <c r="Y155" s="29"/>
      <c r="Z155" s="160"/>
      <c r="AA155" s="279"/>
      <c r="AB155" s="76"/>
      <c r="AC155" s="281"/>
      <c r="AD155" s="161"/>
      <c r="AE155" s="163"/>
      <c r="AF155" s="76"/>
      <c r="AG155" s="161"/>
      <c r="AH155" s="173"/>
      <c r="AI155" s="167"/>
      <c r="AJ155" s="174"/>
      <c r="AK155" s="167"/>
      <c r="AL155" s="167"/>
      <c r="AM155" s="167"/>
      <c r="AN155" s="167"/>
      <c r="AO155" s="167"/>
      <c r="AP155" s="167"/>
      <c r="AQ155" s="157"/>
      <c r="AR155" s="284"/>
      <c r="AS155" s="284"/>
      <c r="AT155" s="284"/>
      <c r="AU155" s="284"/>
      <c r="AV155" s="184"/>
      <c r="AW155" s="186"/>
    </row>
    <row r="156" spans="2:49" ht="15.75" x14ac:dyDescent="0.25">
      <c r="B156" s="84"/>
      <c r="C156" s="192"/>
      <c r="D156" s="25"/>
      <c r="E156" s="72"/>
      <c r="F156" s="113"/>
      <c r="G156" s="113"/>
      <c r="H156" s="28"/>
      <c r="I156" s="27"/>
      <c r="J156" s="118"/>
      <c r="K156" s="113"/>
      <c r="L156" s="28"/>
      <c r="M156" s="27"/>
      <c r="N156" s="28"/>
      <c r="O156" s="72"/>
      <c r="P156" s="72"/>
      <c r="Q156" s="27"/>
      <c r="R156" s="157"/>
      <c r="S156" s="73"/>
      <c r="T156" s="25"/>
      <c r="U156" s="235"/>
      <c r="V156" s="25"/>
      <c r="W156" s="25"/>
      <c r="X156" s="25"/>
      <c r="Y156" s="29"/>
      <c r="Z156" s="160"/>
      <c r="AA156" s="279"/>
      <c r="AB156" s="76"/>
      <c r="AC156" s="281"/>
      <c r="AD156" s="161"/>
      <c r="AE156" s="163"/>
      <c r="AF156" s="76"/>
      <c r="AG156" s="161"/>
      <c r="AH156" s="173"/>
      <c r="AI156" s="167"/>
      <c r="AJ156" s="174"/>
      <c r="AK156" s="167"/>
      <c r="AL156" s="167"/>
      <c r="AM156" s="167"/>
      <c r="AN156" s="167"/>
      <c r="AO156" s="167"/>
      <c r="AP156" s="167"/>
      <c r="AQ156" s="157"/>
      <c r="AR156" s="284"/>
      <c r="AS156" s="284"/>
      <c r="AT156" s="284"/>
      <c r="AU156" s="284"/>
      <c r="AV156" s="184"/>
      <c r="AW156" s="186"/>
    </row>
    <row r="157" spans="2:49" ht="15.75" x14ac:dyDescent="0.25">
      <c r="B157" s="84"/>
      <c r="C157" s="192"/>
      <c r="D157" s="25"/>
      <c r="E157" s="237"/>
      <c r="F157" s="113"/>
      <c r="G157" s="113"/>
      <c r="H157" s="28"/>
      <c r="I157" s="27"/>
      <c r="J157" s="118"/>
      <c r="K157" s="113"/>
      <c r="L157" s="28"/>
      <c r="M157" s="27"/>
      <c r="N157" s="28"/>
      <c r="O157" s="72"/>
      <c r="P157" s="72"/>
      <c r="Q157" s="27"/>
      <c r="R157" s="157"/>
      <c r="S157" s="73"/>
      <c r="T157" s="25"/>
      <c r="U157" s="235"/>
      <c r="V157" s="25"/>
      <c r="W157" s="25"/>
      <c r="X157" s="25"/>
      <c r="Y157" s="29"/>
      <c r="Z157" s="160"/>
      <c r="AA157" s="279"/>
      <c r="AB157" s="76"/>
      <c r="AC157" s="281"/>
      <c r="AD157" s="161"/>
      <c r="AE157" s="163"/>
      <c r="AF157" s="76"/>
      <c r="AG157" s="161"/>
      <c r="AH157" s="173"/>
      <c r="AI157" s="167"/>
      <c r="AJ157" s="174"/>
      <c r="AK157" s="167"/>
      <c r="AL157" s="167"/>
      <c r="AM157" s="167"/>
      <c r="AN157" s="167"/>
      <c r="AO157" s="167"/>
      <c r="AP157" s="167"/>
      <c r="AQ157" s="157"/>
      <c r="AR157" s="284"/>
      <c r="AS157" s="284"/>
      <c r="AT157" s="284"/>
      <c r="AU157" s="284"/>
      <c r="AV157" s="184"/>
      <c r="AW157" s="186"/>
    </row>
    <row r="158" spans="2:49" ht="15.75" x14ac:dyDescent="0.25">
      <c r="B158" s="84"/>
      <c r="C158" s="192"/>
      <c r="D158" s="25"/>
      <c r="E158" s="237"/>
      <c r="F158" s="113"/>
      <c r="G158" s="113"/>
      <c r="H158" s="28"/>
      <c r="I158" s="27"/>
      <c r="J158" s="118"/>
      <c r="K158" s="113"/>
      <c r="L158" s="28"/>
      <c r="M158" s="27"/>
      <c r="N158" s="28"/>
      <c r="O158" s="72"/>
      <c r="P158" s="72"/>
      <c r="Q158" s="27"/>
      <c r="R158" s="157"/>
      <c r="S158" s="73"/>
      <c r="T158" s="25"/>
      <c r="U158" s="235"/>
      <c r="V158" s="25"/>
      <c r="W158" s="25"/>
      <c r="X158" s="25"/>
      <c r="Y158" s="29"/>
      <c r="Z158" s="160"/>
      <c r="AA158" s="279"/>
      <c r="AB158" s="76"/>
      <c r="AC158" s="281"/>
      <c r="AD158" s="161"/>
      <c r="AE158" s="163"/>
      <c r="AF158" s="76"/>
      <c r="AG158" s="161"/>
      <c r="AH158" s="173"/>
      <c r="AI158" s="167"/>
      <c r="AJ158" s="174"/>
      <c r="AK158" s="167"/>
      <c r="AL158" s="167"/>
      <c r="AM158" s="167"/>
      <c r="AN158" s="167"/>
      <c r="AO158" s="167"/>
      <c r="AP158" s="167"/>
      <c r="AQ158" s="157"/>
      <c r="AR158" s="284"/>
      <c r="AS158" s="284"/>
      <c r="AT158" s="284"/>
      <c r="AU158" s="284"/>
      <c r="AV158" s="184"/>
      <c r="AW158" s="186"/>
    </row>
    <row r="159" spans="2:49" ht="15.75" x14ac:dyDescent="0.25">
      <c r="B159" s="84"/>
      <c r="C159" s="192"/>
      <c r="D159" s="25"/>
      <c r="E159" s="237"/>
      <c r="F159" s="113"/>
      <c r="G159" s="113"/>
      <c r="H159" s="28"/>
      <c r="I159" s="27"/>
      <c r="J159" s="118"/>
      <c r="K159" s="113"/>
      <c r="L159" s="28"/>
      <c r="M159" s="27"/>
      <c r="N159" s="28"/>
      <c r="O159" s="72"/>
      <c r="P159" s="72"/>
      <c r="Q159" s="27"/>
      <c r="R159" s="157"/>
      <c r="S159" s="73"/>
      <c r="T159" s="25"/>
      <c r="U159" s="235"/>
      <c r="V159" s="25"/>
      <c r="W159" s="25"/>
      <c r="X159" s="25"/>
      <c r="Y159" s="29"/>
      <c r="Z159" s="160"/>
      <c r="AA159" s="279"/>
      <c r="AB159" s="76"/>
      <c r="AC159" s="281"/>
      <c r="AD159" s="161"/>
      <c r="AE159" s="163"/>
      <c r="AF159" s="76"/>
      <c r="AG159" s="161"/>
      <c r="AH159" s="173"/>
      <c r="AI159" s="167"/>
      <c r="AJ159" s="174"/>
      <c r="AK159" s="167"/>
      <c r="AL159" s="167"/>
      <c r="AM159" s="167"/>
      <c r="AN159" s="167"/>
      <c r="AO159" s="167"/>
      <c r="AP159" s="167"/>
      <c r="AQ159" s="157"/>
      <c r="AR159" s="284"/>
      <c r="AS159" s="284"/>
      <c r="AT159" s="284"/>
      <c r="AU159" s="284"/>
      <c r="AV159" s="184"/>
      <c r="AW159" s="186"/>
    </row>
    <row r="160" spans="2:49" ht="15.75" x14ac:dyDescent="0.25">
      <c r="B160" s="84"/>
      <c r="C160" s="192"/>
      <c r="D160" s="25"/>
      <c r="E160" s="237"/>
      <c r="F160" s="113"/>
      <c r="G160" s="113"/>
      <c r="H160" s="28"/>
      <c r="I160" s="27"/>
      <c r="J160" s="118"/>
      <c r="K160" s="113"/>
      <c r="L160" s="28"/>
      <c r="M160" s="27"/>
      <c r="N160" s="28"/>
      <c r="O160" s="72"/>
      <c r="P160" s="72"/>
      <c r="Q160" s="27"/>
      <c r="R160" s="157"/>
      <c r="S160" s="73"/>
      <c r="T160" s="25"/>
      <c r="U160" s="235"/>
      <c r="V160" s="25"/>
      <c r="W160" s="25"/>
      <c r="X160" s="25"/>
      <c r="Y160" s="29"/>
      <c r="Z160" s="160"/>
      <c r="AA160" s="279"/>
      <c r="AB160" s="76"/>
      <c r="AC160" s="281"/>
      <c r="AD160" s="161"/>
      <c r="AE160" s="163"/>
      <c r="AF160" s="76"/>
      <c r="AG160" s="161"/>
      <c r="AH160" s="173"/>
      <c r="AI160" s="167"/>
      <c r="AJ160" s="174"/>
      <c r="AK160" s="167"/>
      <c r="AL160" s="167"/>
      <c r="AM160" s="167"/>
      <c r="AN160" s="167"/>
      <c r="AO160" s="167"/>
      <c r="AP160" s="167"/>
      <c r="AQ160" s="157"/>
      <c r="AR160" s="284"/>
      <c r="AS160" s="284"/>
      <c r="AT160" s="284"/>
      <c r="AU160" s="284"/>
      <c r="AV160" s="184"/>
      <c r="AW160" s="186"/>
    </row>
    <row r="161" spans="2:49" ht="15.75" x14ac:dyDescent="0.25">
      <c r="B161" s="84"/>
      <c r="C161" s="192"/>
      <c r="D161" s="25"/>
      <c r="E161" s="237"/>
      <c r="F161" s="113"/>
      <c r="G161" s="113"/>
      <c r="H161" s="28"/>
      <c r="I161" s="27"/>
      <c r="J161" s="118"/>
      <c r="K161" s="113"/>
      <c r="L161" s="28"/>
      <c r="M161" s="27"/>
      <c r="N161" s="28"/>
      <c r="O161" s="72"/>
      <c r="P161" s="72"/>
      <c r="Q161" s="27"/>
      <c r="R161" s="157"/>
      <c r="S161" s="73"/>
      <c r="T161" s="25"/>
      <c r="U161" s="235"/>
      <c r="V161" s="25"/>
      <c r="W161" s="25"/>
      <c r="X161" s="25"/>
      <c r="Y161" s="29"/>
      <c r="Z161" s="160"/>
      <c r="AA161" s="279"/>
      <c r="AB161" s="76"/>
      <c r="AC161" s="281"/>
      <c r="AD161" s="161"/>
      <c r="AE161" s="163"/>
      <c r="AF161" s="76"/>
      <c r="AG161" s="161"/>
      <c r="AH161" s="173"/>
      <c r="AI161" s="167"/>
      <c r="AJ161" s="174"/>
      <c r="AK161" s="167"/>
      <c r="AL161" s="167"/>
      <c r="AM161" s="167"/>
      <c r="AN161" s="167"/>
      <c r="AO161" s="167"/>
      <c r="AP161" s="167"/>
      <c r="AQ161" s="157"/>
      <c r="AR161" s="284"/>
      <c r="AS161" s="284"/>
      <c r="AT161" s="284"/>
      <c r="AU161" s="284"/>
      <c r="AV161" s="184"/>
      <c r="AW161" s="186"/>
    </row>
    <row r="162" spans="2:49" ht="15.75" x14ac:dyDescent="0.25">
      <c r="B162" s="84"/>
      <c r="C162" s="192"/>
      <c r="D162" s="25"/>
      <c r="E162" s="237"/>
      <c r="F162" s="113"/>
      <c r="G162" s="113"/>
      <c r="H162" s="28"/>
      <c r="I162" s="27"/>
      <c r="J162" s="118"/>
      <c r="K162" s="113"/>
      <c r="L162" s="28"/>
      <c r="M162" s="27"/>
      <c r="N162" s="28"/>
      <c r="O162" s="72"/>
      <c r="P162" s="72"/>
      <c r="Q162" s="27"/>
      <c r="R162" s="157"/>
      <c r="S162" s="73"/>
      <c r="T162" s="25"/>
      <c r="U162" s="235"/>
      <c r="V162" s="25"/>
      <c r="W162" s="25"/>
      <c r="X162" s="25"/>
      <c r="Y162" s="29"/>
      <c r="Z162" s="160"/>
      <c r="AA162" s="279"/>
      <c r="AB162" s="76"/>
      <c r="AC162" s="281"/>
      <c r="AD162" s="161"/>
      <c r="AE162" s="163"/>
      <c r="AF162" s="76"/>
      <c r="AG162" s="161"/>
      <c r="AH162" s="173"/>
      <c r="AI162" s="167"/>
      <c r="AJ162" s="174"/>
      <c r="AK162" s="167"/>
      <c r="AL162" s="167"/>
      <c r="AM162" s="167"/>
      <c r="AN162" s="167"/>
      <c r="AO162" s="167"/>
      <c r="AP162" s="167"/>
      <c r="AQ162" s="157"/>
      <c r="AR162" s="284"/>
      <c r="AS162" s="284"/>
      <c r="AT162" s="284"/>
      <c r="AU162" s="284"/>
      <c r="AV162" s="184"/>
      <c r="AW162" s="186"/>
    </row>
    <row r="163" spans="2:49" ht="15.75" x14ac:dyDescent="0.25">
      <c r="B163" s="84"/>
      <c r="C163" s="192"/>
      <c r="D163" s="25"/>
      <c r="E163" s="237"/>
      <c r="F163" s="113"/>
      <c r="G163" s="113"/>
      <c r="H163" s="28"/>
      <c r="I163" s="27"/>
      <c r="J163" s="118"/>
      <c r="K163" s="113"/>
      <c r="L163" s="28"/>
      <c r="M163" s="27"/>
      <c r="N163" s="28"/>
      <c r="O163" s="72"/>
      <c r="P163" s="72"/>
      <c r="Q163" s="27"/>
      <c r="R163" s="157"/>
      <c r="S163" s="73"/>
      <c r="T163" s="25"/>
      <c r="U163" s="235"/>
      <c r="V163" s="25"/>
      <c r="W163" s="25"/>
      <c r="X163" s="25"/>
      <c r="Y163" s="29"/>
      <c r="Z163" s="160"/>
      <c r="AA163" s="279"/>
      <c r="AB163" s="76"/>
      <c r="AC163" s="281"/>
      <c r="AD163" s="161"/>
      <c r="AE163" s="163"/>
      <c r="AF163" s="76"/>
      <c r="AG163" s="161"/>
      <c r="AH163" s="173"/>
      <c r="AI163" s="167"/>
      <c r="AJ163" s="174"/>
      <c r="AK163" s="167"/>
      <c r="AL163" s="167"/>
      <c r="AM163" s="167"/>
      <c r="AN163" s="167"/>
      <c r="AO163" s="167"/>
      <c r="AP163" s="167"/>
      <c r="AQ163" s="157"/>
      <c r="AR163" s="284"/>
      <c r="AS163" s="284"/>
      <c r="AT163" s="284"/>
      <c r="AU163" s="284"/>
      <c r="AV163" s="184"/>
      <c r="AW163" s="186"/>
    </row>
    <row r="164" spans="2:49" ht="15.75" x14ac:dyDescent="0.25">
      <c r="B164" s="84"/>
      <c r="C164" s="192"/>
      <c r="D164" s="25"/>
      <c r="E164" s="237"/>
      <c r="F164" s="113"/>
      <c r="G164" s="113"/>
      <c r="H164" s="28"/>
      <c r="I164" s="27"/>
      <c r="J164" s="118"/>
      <c r="K164" s="113"/>
      <c r="L164" s="28"/>
      <c r="M164" s="27"/>
      <c r="N164" s="28"/>
      <c r="O164" s="72"/>
      <c r="P164" s="72"/>
      <c r="Q164" s="27"/>
      <c r="R164" s="157"/>
      <c r="S164" s="73"/>
      <c r="T164" s="25"/>
      <c r="U164" s="235"/>
      <c r="V164" s="25"/>
      <c r="W164" s="25"/>
      <c r="X164" s="25"/>
      <c r="Y164" s="29"/>
      <c r="Z164" s="160"/>
      <c r="AA164" s="279"/>
      <c r="AB164" s="76"/>
      <c r="AC164" s="281"/>
      <c r="AD164" s="161"/>
      <c r="AE164" s="163"/>
      <c r="AF164" s="76"/>
      <c r="AG164" s="161"/>
      <c r="AH164" s="173"/>
      <c r="AI164" s="167"/>
      <c r="AJ164" s="174"/>
      <c r="AK164" s="167"/>
      <c r="AL164" s="167"/>
      <c r="AM164" s="167"/>
      <c r="AN164" s="167"/>
      <c r="AO164" s="167"/>
      <c r="AP164" s="167"/>
      <c r="AQ164" s="157"/>
      <c r="AR164" s="284"/>
      <c r="AS164" s="284"/>
      <c r="AT164" s="284"/>
      <c r="AU164" s="284"/>
      <c r="AV164" s="184"/>
      <c r="AW164" s="186"/>
    </row>
    <row r="165" spans="2:49" ht="15.75" x14ac:dyDescent="0.25">
      <c r="B165" s="84"/>
      <c r="C165" s="192"/>
      <c r="D165" s="25"/>
      <c r="E165" s="72"/>
      <c r="F165" s="113"/>
      <c r="G165" s="113"/>
      <c r="H165" s="28"/>
      <c r="I165" s="27"/>
      <c r="J165" s="118"/>
      <c r="K165" s="113"/>
      <c r="L165" s="28"/>
      <c r="M165" s="27"/>
      <c r="N165" s="28"/>
      <c r="O165" s="72"/>
      <c r="P165" s="72"/>
      <c r="Q165" s="27"/>
      <c r="R165" s="157"/>
      <c r="S165" s="73"/>
      <c r="T165" s="25"/>
      <c r="U165" s="235"/>
      <c r="V165" s="25"/>
      <c r="W165" s="25"/>
      <c r="X165" s="25"/>
      <c r="Y165" s="29"/>
      <c r="Z165" s="160"/>
      <c r="AA165" s="279"/>
      <c r="AB165" s="76"/>
      <c r="AC165" s="281"/>
      <c r="AD165" s="161"/>
      <c r="AE165" s="163"/>
      <c r="AF165" s="76"/>
      <c r="AG165" s="161"/>
      <c r="AH165" s="173"/>
      <c r="AI165" s="167"/>
      <c r="AJ165" s="174"/>
      <c r="AK165" s="167"/>
      <c r="AL165" s="167"/>
      <c r="AM165" s="167"/>
      <c r="AN165" s="167"/>
      <c r="AO165" s="167"/>
      <c r="AP165" s="167"/>
      <c r="AQ165" s="157"/>
      <c r="AR165" s="284"/>
      <c r="AS165" s="284"/>
      <c r="AT165" s="284"/>
      <c r="AU165" s="284"/>
      <c r="AV165" s="184"/>
      <c r="AW165" s="186"/>
    </row>
    <row r="166" spans="2:49" ht="15.75" x14ac:dyDescent="0.25">
      <c r="B166" s="84"/>
      <c r="C166" s="192"/>
      <c r="D166" s="25"/>
      <c r="E166" s="237"/>
      <c r="F166" s="113"/>
      <c r="G166" s="113"/>
      <c r="H166" s="28"/>
      <c r="I166" s="27"/>
      <c r="J166" s="118"/>
      <c r="K166" s="113"/>
      <c r="L166" s="28"/>
      <c r="M166" s="27"/>
      <c r="N166" s="28"/>
      <c r="O166" s="72"/>
      <c r="P166" s="72"/>
      <c r="Q166" s="27"/>
      <c r="R166" s="157"/>
      <c r="S166" s="73"/>
      <c r="T166" s="25"/>
      <c r="U166" s="235"/>
      <c r="V166" s="25"/>
      <c r="W166" s="25"/>
      <c r="X166" s="25"/>
      <c r="Y166" s="29"/>
      <c r="Z166" s="160"/>
      <c r="AA166" s="279"/>
      <c r="AB166" s="76"/>
      <c r="AC166" s="281"/>
      <c r="AD166" s="161"/>
      <c r="AE166" s="163"/>
      <c r="AF166" s="76"/>
      <c r="AG166" s="161"/>
      <c r="AH166" s="173"/>
      <c r="AI166" s="167"/>
      <c r="AJ166" s="174"/>
      <c r="AK166" s="167"/>
      <c r="AL166" s="167"/>
      <c r="AM166" s="167"/>
      <c r="AN166" s="167"/>
      <c r="AO166" s="167"/>
      <c r="AP166" s="167"/>
      <c r="AQ166" s="157"/>
      <c r="AR166" s="284"/>
      <c r="AS166" s="284"/>
      <c r="AT166" s="284"/>
      <c r="AU166" s="284"/>
      <c r="AV166" s="184"/>
      <c r="AW166" s="186"/>
    </row>
    <row r="167" spans="2:49" ht="15.75" x14ac:dyDescent="0.25">
      <c r="B167" s="84"/>
      <c r="C167" s="192"/>
      <c r="D167" s="25"/>
      <c r="E167" s="237"/>
      <c r="F167" s="113"/>
      <c r="G167" s="113"/>
      <c r="H167" s="28"/>
      <c r="I167" s="27"/>
      <c r="J167" s="118"/>
      <c r="K167" s="113"/>
      <c r="L167" s="28"/>
      <c r="M167" s="27"/>
      <c r="N167" s="28"/>
      <c r="O167" s="72"/>
      <c r="P167" s="72"/>
      <c r="Q167" s="27"/>
      <c r="R167" s="157"/>
      <c r="S167" s="73"/>
      <c r="T167" s="25"/>
      <c r="U167" s="235"/>
      <c r="V167" s="25"/>
      <c r="W167" s="25"/>
      <c r="X167" s="25"/>
      <c r="Y167" s="29"/>
      <c r="Z167" s="160"/>
      <c r="AA167" s="279"/>
      <c r="AB167" s="76"/>
      <c r="AC167" s="281"/>
      <c r="AD167" s="161"/>
      <c r="AE167" s="163"/>
      <c r="AF167" s="76"/>
      <c r="AG167" s="161"/>
      <c r="AH167" s="173"/>
      <c r="AI167" s="167"/>
      <c r="AJ167" s="174"/>
      <c r="AK167" s="167"/>
      <c r="AL167" s="167"/>
      <c r="AM167" s="167"/>
      <c r="AN167" s="167"/>
      <c r="AO167" s="167"/>
      <c r="AP167" s="167"/>
      <c r="AQ167" s="157"/>
      <c r="AR167" s="284"/>
      <c r="AS167" s="284"/>
      <c r="AT167" s="284"/>
      <c r="AU167" s="284"/>
      <c r="AV167" s="184"/>
      <c r="AW167" s="186"/>
    </row>
    <row r="168" spans="2:49" ht="15.75" x14ac:dyDescent="0.25">
      <c r="B168" s="84"/>
      <c r="C168" s="192"/>
      <c r="D168" s="25"/>
      <c r="E168" s="237"/>
      <c r="F168" s="113"/>
      <c r="G168" s="113"/>
      <c r="H168" s="28"/>
      <c r="I168" s="27"/>
      <c r="J168" s="118"/>
      <c r="K168" s="113"/>
      <c r="L168" s="28"/>
      <c r="M168" s="27"/>
      <c r="N168" s="28"/>
      <c r="O168" s="72"/>
      <c r="P168" s="72"/>
      <c r="Q168" s="27"/>
      <c r="R168" s="157"/>
      <c r="S168" s="73"/>
      <c r="T168" s="25"/>
      <c r="U168" s="235"/>
      <c r="V168" s="25"/>
      <c r="W168" s="25"/>
      <c r="X168" s="25"/>
      <c r="Y168" s="29"/>
      <c r="Z168" s="160"/>
      <c r="AA168" s="279"/>
      <c r="AB168" s="76"/>
      <c r="AC168" s="281"/>
      <c r="AD168" s="161"/>
      <c r="AE168" s="163"/>
      <c r="AF168" s="76"/>
      <c r="AG168" s="161"/>
      <c r="AH168" s="173"/>
      <c r="AI168" s="167"/>
      <c r="AJ168" s="174"/>
      <c r="AK168" s="167"/>
      <c r="AL168" s="167"/>
      <c r="AM168" s="167"/>
      <c r="AN168" s="167"/>
      <c r="AO168" s="167"/>
      <c r="AP168" s="167"/>
      <c r="AQ168" s="157"/>
      <c r="AR168" s="284"/>
      <c r="AS168" s="284"/>
      <c r="AT168" s="284"/>
      <c r="AU168" s="284"/>
      <c r="AV168" s="184"/>
      <c r="AW168" s="186"/>
    </row>
    <row r="169" spans="2:49" ht="15.75" x14ac:dyDescent="0.25">
      <c r="B169" s="84"/>
      <c r="C169" s="192"/>
      <c r="D169" s="25"/>
      <c r="E169" s="237"/>
      <c r="F169" s="113"/>
      <c r="G169" s="113"/>
      <c r="H169" s="28"/>
      <c r="I169" s="27"/>
      <c r="J169" s="118"/>
      <c r="K169" s="113"/>
      <c r="L169" s="28"/>
      <c r="M169" s="27"/>
      <c r="N169" s="28"/>
      <c r="O169" s="72"/>
      <c r="P169" s="72"/>
      <c r="Q169" s="27"/>
      <c r="R169" s="157"/>
      <c r="S169" s="73"/>
      <c r="T169" s="25"/>
      <c r="U169" s="235"/>
      <c r="V169" s="25"/>
      <c r="W169" s="25"/>
      <c r="X169" s="25"/>
      <c r="Y169" s="29"/>
      <c r="Z169" s="160"/>
      <c r="AA169" s="279"/>
      <c r="AB169" s="76"/>
      <c r="AC169" s="281"/>
      <c r="AD169" s="161"/>
      <c r="AE169" s="163"/>
      <c r="AF169" s="76"/>
      <c r="AG169" s="161"/>
      <c r="AH169" s="173"/>
      <c r="AI169" s="167"/>
      <c r="AJ169" s="174"/>
      <c r="AK169" s="167"/>
      <c r="AL169" s="167"/>
      <c r="AM169" s="167"/>
      <c r="AN169" s="167"/>
      <c r="AO169" s="167"/>
      <c r="AP169" s="167"/>
      <c r="AQ169" s="157"/>
      <c r="AR169" s="284"/>
      <c r="AS169" s="284"/>
      <c r="AT169" s="284"/>
      <c r="AU169" s="284"/>
      <c r="AV169" s="184"/>
      <c r="AW169" s="186"/>
    </row>
    <row r="170" spans="2:49" ht="15.75" x14ac:dyDescent="0.25">
      <c r="B170" s="84"/>
      <c r="C170" s="192"/>
      <c r="D170" s="25"/>
      <c r="E170" s="237"/>
      <c r="F170" s="113"/>
      <c r="G170" s="113"/>
      <c r="H170" s="28"/>
      <c r="I170" s="27"/>
      <c r="J170" s="118"/>
      <c r="K170" s="113"/>
      <c r="L170" s="28"/>
      <c r="M170" s="27"/>
      <c r="N170" s="28"/>
      <c r="O170" s="72"/>
      <c r="P170" s="72"/>
      <c r="Q170" s="27"/>
      <c r="R170" s="157"/>
      <c r="S170" s="73"/>
      <c r="T170" s="25"/>
      <c r="U170" s="235"/>
      <c r="V170" s="25"/>
      <c r="W170" s="25"/>
      <c r="X170" s="25"/>
      <c r="Y170" s="29"/>
      <c r="Z170" s="160"/>
      <c r="AA170" s="279"/>
      <c r="AB170" s="76"/>
      <c r="AC170" s="281"/>
      <c r="AD170" s="161"/>
      <c r="AE170" s="163"/>
      <c r="AF170" s="76"/>
      <c r="AG170" s="161"/>
      <c r="AH170" s="173"/>
      <c r="AI170" s="167"/>
      <c r="AJ170" s="174"/>
      <c r="AK170" s="167"/>
      <c r="AL170" s="167"/>
      <c r="AM170" s="167"/>
      <c r="AN170" s="167"/>
      <c r="AO170" s="167"/>
      <c r="AP170" s="167"/>
      <c r="AQ170" s="157"/>
      <c r="AR170" s="284"/>
      <c r="AS170" s="284"/>
      <c r="AT170" s="284"/>
      <c r="AU170" s="284"/>
      <c r="AV170" s="184"/>
      <c r="AW170" s="186"/>
    </row>
    <row r="171" spans="2:49" ht="15.75" x14ac:dyDescent="0.25">
      <c r="B171" s="84"/>
      <c r="C171" s="192"/>
      <c r="D171" s="25"/>
      <c r="E171" s="237"/>
      <c r="F171" s="113"/>
      <c r="G171" s="113"/>
      <c r="H171" s="28"/>
      <c r="I171" s="27"/>
      <c r="J171" s="118"/>
      <c r="K171" s="113"/>
      <c r="L171" s="28"/>
      <c r="M171" s="27"/>
      <c r="N171" s="28"/>
      <c r="O171" s="72"/>
      <c r="P171" s="72"/>
      <c r="Q171" s="27"/>
      <c r="R171" s="157"/>
      <c r="S171" s="73"/>
      <c r="T171" s="25"/>
      <c r="U171" s="235"/>
      <c r="V171" s="25"/>
      <c r="W171" s="25"/>
      <c r="X171" s="25"/>
      <c r="Y171" s="29"/>
      <c r="Z171" s="160"/>
      <c r="AA171" s="279"/>
      <c r="AB171" s="76"/>
      <c r="AC171" s="281"/>
      <c r="AD171" s="161"/>
      <c r="AE171" s="163"/>
      <c r="AF171" s="76"/>
      <c r="AG171" s="161"/>
      <c r="AH171" s="173"/>
      <c r="AI171" s="167"/>
      <c r="AJ171" s="174"/>
      <c r="AK171" s="167"/>
      <c r="AL171" s="167"/>
      <c r="AM171" s="167"/>
      <c r="AN171" s="167"/>
      <c r="AO171" s="167"/>
      <c r="AP171" s="167"/>
      <c r="AQ171" s="157"/>
      <c r="AR171" s="284"/>
      <c r="AS171" s="284"/>
      <c r="AT171" s="284"/>
      <c r="AU171" s="284"/>
      <c r="AV171" s="184"/>
      <c r="AW171" s="186"/>
    </row>
    <row r="172" spans="2:49" ht="15.75" x14ac:dyDescent="0.25">
      <c r="B172" s="84"/>
      <c r="C172" s="192"/>
      <c r="D172" s="25"/>
      <c r="E172" s="72"/>
      <c r="F172" s="113"/>
      <c r="G172" s="113"/>
      <c r="H172" s="28"/>
      <c r="I172" s="27"/>
      <c r="J172" s="118"/>
      <c r="K172" s="113"/>
      <c r="L172" s="28"/>
      <c r="M172" s="27"/>
      <c r="N172" s="28"/>
      <c r="O172" s="72"/>
      <c r="P172" s="72"/>
      <c r="Q172" s="27"/>
      <c r="R172" s="157"/>
      <c r="S172" s="73"/>
      <c r="T172" s="25"/>
      <c r="U172" s="235"/>
      <c r="V172" s="25"/>
      <c r="W172" s="25"/>
      <c r="X172" s="25"/>
      <c r="Y172" s="29"/>
      <c r="Z172" s="160"/>
      <c r="AA172" s="279"/>
      <c r="AB172" s="76"/>
      <c r="AC172" s="281"/>
      <c r="AD172" s="161"/>
      <c r="AE172" s="163"/>
      <c r="AF172" s="76"/>
      <c r="AG172" s="161"/>
      <c r="AH172" s="173"/>
      <c r="AI172" s="167"/>
      <c r="AJ172" s="174"/>
      <c r="AK172" s="167"/>
      <c r="AL172" s="167"/>
      <c r="AM172" s="167"/>
      <c r="AN172" s="167"/>
      <c r="AO172" s="167"/>
      <c r="AP172" s="167"/>
      <c r="AQ172" s="157"/>
      <c r="AR172" s="284"/>
      <c r="AS172" s="284"/>
      <c r="AT172" s="284"/>
      <c r="AU172" s="284"/>
      <c r="AV172" s="184"/>
      <c r="AW172" s="186"/>
    </row>
    <row r="173" spans="2:49" ht="15.75" x14ac:dyDescent="0.25">
      <c r="B173" s="84"/>
      <c r="C173" s="192"/>
      <c r="D173" s="25"/>
      <c r="E173" s="238"/>
      <c r="F173" s="113"/>
      <c r="G173" s="113"/>
      <c r="H173" s="28"/>
      <c r="I173" s="27"/>
      <c r="J173" s="118"/>
      <c r="K173" s="113"/>
      <c r="L173" s="28"/>
      <c r="M173" s="27"/>
      <c r="N173" s="28"/>
      <c r="O173" s="72"/>
      <c r="P173" s="72"/>
      <c r="Q173" s="27"/>
      <c r="R173" s="157"/>
      <c r="S173" s="73"/>
      <c r="T173" s="25"/>
      <c r="U173" s="235"/>
      <c r="V173" s="25"/>
      <c r="W173" s="25"/>
      <c r="X173" s="25"/>
      <c r="Y173" s="29"/>
      <c r="Z173" s="160"/>
      <c r="AA173" s="279"/>
      <c r="AB173" s="76"/>
      <c r="AC173" s="281"/>
      <c r="AD173" s="161"/>
      <c r="AE173" s="163"/>
      <c r="AF173" s="76"/>
      <c r="AG173" s="161"/>
      <c r="AH173" s="173"/>
      <c r="AI173" s="167"/>
      <c r="AJ173" s="174"/>
      <c r="AK173" s="167"/>
      <c r="AL173" s="167"/>
      <c r="AM173" s="167"/>
      <c r="AN173" s="167"/>
      <c r="AO173" s="167"/>
      <c r="AP173" s="167"/>
      <c r="AQ173" s="157"/>
      <c r="AR173" s="284"/>
      <c r="AS173" s="284"/>
      <c r="AT173" s="284"/>
      <c r="AU173" s="284"/>
      <c r="AV173" s="184"/>
      <c r="AW173" s="186"/>
    </row>
    <row r="174" spans="2:49" ht="15.75" x14ac:dyDescent="0.25">
      <c r="B174" s="84"/>
      <c r="C174" s="192"/>
      <c r="D174" s="25"/>
      <c r="E174" s="239"/>
      <c r="F174" s="240"/>
      <c r="G174" s="113"/>
      <c r="H174" s="28"/>
      <c r="I174" s="27"/>
      <c r="J174" s="118"/>
      <c r="K174" s="113"/>
      <c r="L174" s="28"/>
      <c r="M174" s="27"/>
      <c r="N174" s="28"/>
      <c r="O174" s="72"/>
      <c r="P174" s="72"/>
      <c r="Q174" s="27"/>
      <c r="R174" s="157"/>
      <c r="S174" s="73"/>
      <c r="T174" s="25"/>
      <c r="U174" s="235"/>
      <c r="V174" s="25"/>
      <c r="W174" s="25"/>
      <c r="X174" s="25"/>
      <c r="Y174" s="29"/>
      <c r="Z174" s="160"/>
      <c r="AA174" s="279"/>
      <c r="AB174" s="76"/>
      <c r="AC174" s="281"/>
      <c r="AD174" s="161"/>
      <c r="AE174" s="163"/>
      <c r="AF174" s="76"/>
      <c r="AG174" s="161"/>
      <c r="AH174" s="173"/>
      <c r="AI174" s="167"/>
      <c r="AJ174" s="174"/>
      <c r="AK174" s="167"/>
      <c r="AL174" s="167"/>
      <c r="AM174" s="167"/>
      <c r="AN174" s="167"/>
      <c r="AO174" s="167"/>
      <c r="AP174" s="167"/>
      <c r="AQ174" s="157"/>
      <c r="AR174" s="284"/>
      <c r="AS174" s="284"/>
      <c r="AT174" s="284"/>
      <c r="AU174" s="284"/>
      <c r="AV174" s="184"/>
      <c r="AW174" s="186"/>
    </row>
    <row r="175" spans="2:49" ht="15.75" x14ac:dyDescent="0.25">
      <c r="B175" s="84"/>
      <c r="C175" s="192"/>
      <c r="D175" s="25"/>
      <c r="E175" s="239"/>
      <c r="F175" s="240"/>
      <c r="G175" s="113"/>
      <c r="H175" s="28"/>
      <c r="I175" s="27"/>
      <c r="J175" s="118"/>
      <c r="K175" s="113"/>
      <c r="L175" s="28"/>
      <c r="M175" s="27"/>
      <c r="N175" s="28"/>
      <c r="O175" s="72"/>
      <c r="P175" s="72"/>
      <c r="Q175" s="27"/>
      <c r="R175" s="157"/>
      <c r="S175" s="73"/>
      <c r="T175" s="25"/>
      <c r="U175" s="235"/>
      <c r="V175" s="25"/>
      <c r="W175" s="25"/>
      <c r="X175" s="25"/>
      <c r="Y175" s="29"/>
      <c r="Z175" s="160"/>
      <c r="AA175" s="279"/>
      <c r="AB175" s="76"/>
      <c r="AC175" s="281"/>
      <c r="AD175" s="161"/>
      <c r="AE175" s="163"/>
      <c r="AF175" s="76"/>
      <c r="AG175" s="161"/>
      <c r="AH175" s="173"/>
      <c r="AI175" s="167"/>
      <c r="AJ175" s="174"/>
      <c r="AK175" s="167"/>
      <c r="AL175" s="167"/>
      <c r="AM175" s="167"/>
      <c r="AN175" s="167"/>
      <c r="AO175" s="167"/>
      <c r="AP175" s="167"/>
      <c r="AQ175" s="157"/>
      <c r="AR175" s="284"/>
      <c r="AS175" s="284"/>
      <c r="AT175" s="284"/>
      <c r="AU175" s="284"/>
      <c r="AV175" s="184"/>
      <c r="AW175" s="186"/>
    </row>
    <row r="176" spans="2:49" ht="15.75" x14ac:dyDescent="0.25">
      <c r="B176" s="84"/>
      <c r="C176" s="192"/>
      <c r="D176" s="25"/>
      <c r="E176" s="72"/>
      <c r="F176" s="113"/>
      <c r="G176" s="113"/>
      <c r="H176" s="28"/>
      <c r="I176" s="27"/>
      <c r="J176" s="118"/>
      <c r="K176" s="113"/>
      <c r="L176" s="28"/>
      <c r="M176" s="27"/>
      <c r="N176" s="28"/>
      <c r="O176" s="72"/>
      <c r="P176" s="72"/>
      <c r="Q176" s="27"/>
      <c r="R176" s="157"/>
      <c r="S176" s="73"/>
      <c r="T176" s="25"/>
      <c r="U176" s="235"/>
      <c r="V176" s="25"/>
      <c r="W176" s="25"/>
      <c r="X176" s="25"/>
      <c r="Y176" s="29"/>
      <c r="Z176" s="160"/>
      <c r="AA176" s="279"/>
      <c r="AB176" s="76"/>
      <c r="AC176" s="281"/>
      <c r="AD176" s="161"/>
      <c r="AE176" s="163"/>
      <c r="AF176" s="76"/>
      <c r="AG176" s="161"/>
      <c r="AH176" s="173"/>
      <c r="AI176" s="167"/>
      <c r="AJ176" s="174"/>
      <c r="AK176" s="167"/>
      <c r="AL176" s="167"/>
      <c r="AM176" s="167"/>
      <c r="AN176" s="167"/>
      <c r="AO176" s="167"/>
      <c r="AP176" s="167"/>
      <c r="AQ176" s="157"/>
      <c r="AR176" s="284"/>
      <c r="AS176" s="284"/>
      <c r="AT176" s="284"/>
      <c r="AU176" s="284"/>
      <c r="AV176" s="184"/>
      <c r="AW176" s="186"/>
    </row>
    <row r="177" spans="2:49" ht="15.75" x14ac:dyDescent="0.25">
      <c r="B177" s="84"/>
      <c r="C177" s="192"/>
      <c r="D177" s="25"/>
      <c r="E177" s="239"/>
      <c r="F177" s="240"/>
      <c r="G177" s="113"/>
      <c r="H177" s="28"/>
      <c r="I177" s="27"/>
      <c r="J177" s="118"/>
      <c r="K177" s="113"/>
      <c r="L177" s="28"/>
      <c r="M177" s="27"/>
      <c r="N177" s="28"/>
      <c r="O177" s="72"/>
      <c r="P177" s="72"/>
      <c r="Q177" s="27"/>
      <c r="R177" s="157"/>
      <c r="S177" s="73"/>
      <c r="T177" s="25"/>
      <c r="U177" s="235"/>
      <c r="V177" s="25"/>
      <c r="W177" s="25"/>
      <c r="X177" s="25"/>
      <c r="Y177" s="29"/>
      <c r="Z177" s="160"/>
      <c r="AA177" s="279"/>
      <c r="AB177" s="76"/>
      <c r="AC177" s="281"/>
      <c r="AD177" s="161"/>
      <c r="AE177" s="163"/>
      <c r="AF177" s="76"/>
      <c r="AG177" s="161"/>
      <c r="AH177" s="173"/>
      <c r="AI177" s="167"/>
      <c r="AJ177" s="174"/>
      <c r="AK177" s="167"/>
      <c r="AL177" s="167"/>
      <c r="AM177" s="167"/>
      <c r="AN177" s="167"/>
      <c r="AO177" s="167"/>
      <c r="AP177" s="167"/>
      <c r="AQ177" s="157"/>
      <c r="AR177" s="284"/>
      <c r="AS177" s="284"/>
      <c r="AT177" s="284"/>
      <c r="AU177" s="284"/>
      <c r="AV177" s="184"/>
      <c r="AW177" s="186"/>
    </row>
    <row r="178" spans="2:49" ht="15.75" x14ac:dyDescent="0.25">
      <c r="B178" s="84"/>
      <c r="C178" s="192"/>
      <c r="D178" s="25"/>
      <c r="E178" s="239"/>
      <c r="F178" s="240"/>
      <c r="G178" s="113"/>
      <c r="H178" s="28"/>
      <c r="I178" s="27"/>
      <c r="J178" s="118"/>
      <c r="K178" s="113"/>
      <c r="L178" s="28"/>
      <c r="M178" s="27"/>
      <c r="N178" s="28"/>
      <c r="O178" s="72"/>
      <c r="P178" s="72"/>
      <c r="Q178" s="27"/>
      <c r="R178" s="157"/>
      <c r="S178" s="73"/>
      <c r="T178" s="25"/>
      <c r="U178" s="235"/>
      <c r="V178" s="25"/>
      <c r="W178" s="25"/>
      <c r="X178" s="25"/>
      <c r="Y178" s="29"/>
      <c r="Z178" s="160"/>
      <c r="AA178" s="279"/>
      <c r="AB178" s="76"/>
      <c r="AC178" s="281"/>
      <c r="AD178" s="161"/>
      <c r="AE178" s="163"/>
      <c r="AF178" s="76"/>
      <c r="AG178" s="161"/>
      <c r="AH178" s="173"/>
      <c r="AI178" s="167"/>
      <c r="AJ178" s="174"/>
      <c r="AK178" s="167"/>
      <c r="AL178" s="167"/>
      <c r="AM178" s="167"/>
      <c r="AN178" s="167"/>
      <c r="AO178" s="167"/>
      <c r="AP178" s="167"/>
      <c r="AQ178" s="157"/>
      <c r="AR178" s="284"/>
      <c r="AS178" s="284"/>
      <c r="AT178" s="284"/>
      <c r="AU178" s="284"/>
      <c r="AV178" s="184"/>
      <c r="AW178" s="186"/>
    </row>
    <row r="179" spans="2:49" ht="15.75" x14ac:dyDescent="0.25">
      <c r="B179" s="84"/>
      <c r="C179" s="192"/>
      <c r="D179" s="25"/>
      <c r="E179" s="72"/>
      <c r="F179" s="113"/>
      <c r="G179" s="113"/>
      <c r="H179" s="28"/>
      <c r="I179" s="27"/>
      <c r="J179" s="118"/>
      <c r="K179" s="113"/>
      <c r="L179" s="28"/>
      <c r="M179" s="27"/>
      <c r="N179" s="28"/>
      <c r="O179" s="72"/>
      <c r="P179" s="72"/>
      <c r="Q179" s="27"/>
      <c r="R179" s="157"/>
      <c r="S179" s="73"/>
      <c r="T179" s="25"/>
      <c r="U179" s="235"/>
      <c r="V179" s="25"/>
      <c r="W179" s="25"/>
      <c r="X179" s="25"/>
      <c r="Y179" s="29"/>
      <c r="Z179" s="160"/>
      <c r="AA179" s="279"/>
      <c r="AB179" s="76"/>
      <c r="AC179" s="281"/>
      <c r="AD179" s="161"/>
      <c r="AE179" s="163"/>
      <c r="AF179" s="76"/>
      <c r="AG179" s="161"/>
      <c r="AH179" s="173"/>
      <c r="AI179" s="167"/>
      <c r="AJ179" s="174"/>
      <c r="AK179" s="167"/>
      <c r="AL179" s="167"/>
      <c r="AM179" s="167"/>
      <c r="AN179" s="167"/>
      <c r="AO179" s="167"/>
      <c r="AP179" s="167"/>
      <c r="AQ179" s="157"/>
      <c r="AR179" s="284"/>
      <c r="AS179" s="284"/>
      <c r="AT179" s="284"/>
      <c r="AU179" s="284"/>
      <c r="AV179" s="184"/>
      <c r="AW179" s="186"/>
    </row>
    <row r="180" spans="2:49" ht="15.75" x14ac:dyDescent="0.25">
      <c r="B180" s="84"/>
      <c r="C180" s="192"/>
      <c r="D180" s="25"/>
      <c r="E180" s="239"/>
      <c r="F180" s="240"/>
      <c r="G180" s="113"/>
      <c r="H180" s="28"/>
      <c r="I180" s="27"/>
      <c r="J180" s="118"/>
      <c r="K180" s="113"/>
      <c r="L180" s="28"/>
      <c r="M180" s="27"/>
      <c r="N180" s="28"/>
      <c r="O180" s="72"/>
      <c r="P180" s="72"/>
      <c r="Q180" s="27"/>
      <c r="R180" s="157"/>
      <c r="S180" s="73"/>
      <c r="T180" s="25"/>
      <c r="U180" s="235"/>
      <c r="V180" s="25"/>
      <c r="W180" s="25"/>
      <c r="X180" s="25"/>
      <c r="Y180" s="29"/>
      <c r="Z180" s="160"/>
      <c r="AA180" s="279"/>
      <c r="AB180" s="76"/>
      <c r="AC180" s="281"/>
      <c r="AD180" s="161"/>
      <c r="AE180" s="163"/>
      <c r="AF180" s="76"/>
      <c r="AG180" s="161"/>
      <c r="AH180" s="173"/>
      <c r="AI180" s="167"/>
      <c r="AJ180" s="174"/>
      <c r="AK180" s="167"/>
      <c r="AL180" s="167"/>
      <c r="AM180" s="167"/>
      <c r="AN180" s="167"/>
      <c r="AO180" s="167"/>
      <c r="AP180" s="167"/>
      <c r="AQ180" s="157"/>
      <c r="AR180" s="284"/>
      <c r="AS180" s="284"/>
      <c r="AT180" s="284"/>
      <c r="AU180" s="284"/>
      <c r="AV180" s="184"/>
      <c r="AW180" s="186"/>
    </row>
    <row r="181" spans="2:49" ht="15.75" x14ac:dyDescent="0.25">
      <c r="B181" s="84"/>
      <c r="C181" s="192"/>
      <c r="D181" s="25"/>
      <c r="E181" s="239"/>
      <c r="F181" s="240"/>
      <c r="G181" s="113"/>
      <c r="H181" s="28"/>
      <c r="I181" s="27"/>
      <c r="J181" s="118"/>
      <c r="K181" s="113"/>
      <c r="L181" s="28"/>
      <c r="M181" s="27"/>
      <c r="N181" s="28"/>
      <c r="O181" s="72"/>
      <c r="P181" s="72"/>
      <c r="Q181" s="27"/>
      <c r="R181" s="157"/>
      <c r="S181" s="73"/>
      <c r="T181" s="25"/>
      <c r="U181" s="235"/>
      <c r="V181" s="25"/>
      <c r="W181" s="25"/>
      <c r="X181" s="25"/>
      <c r="Y181" s="29"/>
      <c r="Z181" s="160"/>
      <c r="AA181" s="279"/>
      <c r="AB181" s="76"/>
      <c r="AC181" s="281"/>
      <c r="AD181" s="161"/>
      <c r="AE181" s="163"/>
      <c r="AF181" s="76"/>
      <c r="AG181" s="161"/>
      <c r="AH181" s="173"/>
      <c r="AI181" s="167"/>
      <c r="AJ181" s="174"/>
      <c r="AK181" s="167"/>
      <c r="AL181" s="167"/>
      <c r="AM181" s="167"/>
      <c r="AN181" s="167"/>
      <c r="AO181" s="167"/>
      <c r="AP181" s="167"/>
      <c r="AQ181" s="157"/>
      <c r="AR181" s="284"/>
      <c r="AS181" s="284"/>
      <c r="AT181" s="284"/>
      <c r="AU181" s="284"/>
      <c r="AV181" s="184"/>
      <c r="AW181" s="186"/>
    </row>
    <row r="182" spans="2:49" ht="15.75" x14ac:dyDescent="0.25">
      <c r="B182" s="84"/>
      <c r="C182" s="192"/>
      <c r="D182" s="25"/>
      <c r="E182" s="239"/>
      <c r="F182" s="240"/>
      <c r="G182" s="113"/>
      <c r="H182" s="28"/>
      <c r="I182" s="27"/>
      <c r="J182" s="118"/>
      <c r="K182" s="113"/>
      <c r="L182" s="28"/>
      <c r="M182" s="27"/>
      <c r="N182" s="28"/>
      <c r="O182" s="72"/>
      <c r="P182" s="72"/>
      <c r="Q182" s="27"/>
      <c r="R182" s="157"/>
      <c r="S182" s="73"/>
      <c r="T182" s="25"/>
      <c r="U182" s="235"/>
      <c r="V182" s="25"/>
      <c r="W182" s="25"/>
      <c r="X182" s="25"/>
      <c r="Y182" s="29"/>
      <c r="Z182" s="160"/>
      <c r="AA182" s="279"/>
      <c r="AB182" s="76"/>
      <c r="AC182" s="281"/>
      <c r="AD182" s="161"/>
      <c r="AE182" s="163"/>
      <c r="AF182" s="76"/>
      <c r="AG182" s="161"/>
      <c r="AH182" s="173"/>
      <c r="AI182" s="167"/>
      <c r="AJ182" s="174"/>
      <c r="AK182" s="167"/>
      <c r="AL182" s="167"/>
      <c r="AM182" s="167"/>
      <c r="AN182" s="167"/>
      <c r="AO182" s="167"/>
      <c r="AP182" s="167"/>
      <c r="AQ182" s="157"/>
      <c r="AR182" s="284"/>
      <c r="AS182" s="284"/>
      <c r="AT182" s="284"/>
      <c r="AU182" s="284"/>
      <c r="AV182" s="184"/>
      <c r="AW182" s="186"/>
    </row>
    <row r="183" spans="2:49" ht="15.75" x14ac:dyDescent="0.25">
      <c r="B183" s="84"/>
      <c r="C183" s="192"/>
      <c r="D183" s="25"/>
      <c r="E183" s="239"/>
      <c r="F183" s="240"/>
      <c r="G183" s="113"/>
      <c r="H183" s="28"/>
      <c r="I183" s="27"/>
      <c r="J183" s="118"/>
      <c r="K183" s="113"/>
      <c r="L183" s="28"/>
      <c r="M183" s="27"/>
      <c r="N183" s="28"/>
      <c r="O183" s="72"/>
      <c r="P183" s="72"/>
      <c r="Q183" s="27"/>
      <c r="R183" s="157"/>
      <c r="S183" s="73"/>
      <c r="T183" s="25"/>
      <c r="U183" s="235"/>
      <c r="V183" s="25"/>
      <c r="W183" s="25"/>
      <c r="X183" s="25"/>
      <c r="Y183" s="29"/>
      <c r="Z183" s="160"/>
      <c r="AA183" s="279"/>
      <c r="AB183" s="76"/>
      <c r="AC183" s="281"/>
      <c r="AD183" s="161"/>
      <c r="AE183" s="163"/>
      <c r="AF183" s="76"/>
      <c r="AG183" s="161"/>
      <c r="AH183" s="173"/>
      <c r="AI183" s="167"/>
      <c r="AJ183" s="174"/>
      <c r="AK183" s="167"/>
      <c r="AL183" s="167"/>
      <c r="AM183" s="167"/>
      <c r="AN183" s="167"/>
      <c r="AO183" s="167"/>
      <c r="AP183" s="167"/>
      <c r="AQ183" s="157"/>
      <c r="AR183" s="284"/>
      <c r="AS183" s="284"/>
      <c r="AT183" s="284"/>
      <c r="AU183" s="284"/>
      <c r="AV183" s="184"/>
      <c r="AW183" s="186"/>
    </row>
    <row r="184" spans="2:49" ht="15.75" x14ac:dyDescent="0.25">
      <c r="B184" s="84"/>
      <c r="C184" s="192"/>
      <c r="D184" s="25"/>
      <c r="E184" s="72"/>
      <c r="F184" s="113"/>
      <c r="G184" s="113"/>
      <c r="H184" s="28"/>
      <c r="I184" s="27"/>
      <c r="J184" s="118"/>
      <c r="K184" s="113"/>
      <c r="L184" s="28"/>
      <c r="M184" s="27"/>
      <c r="N184" s="28"/>
      <c r="O184" s="72"/>
      <c r="P184" s="72"/>
      <c r="Q184" s="27"/>
      <c r="R184" s="157"/>
      <c r="S184" s="73"/>
      <c r="T184" s="25"/>
      <c r="U184" s="235"/>
      <c r="V184" s="25"/>
      <c r="W184" s="25"/>
      <c r="X184" s="25"/>
      <c r="Y184" s="29"/>
      <c r="Z184" s="160"/>
      <c r="AA184" s="279"/>
      <c r="AB184" s="76"/>
      <c r="AC184" s="281"/>
      <c r="AD184" s="161"/>
      <c r="AE184" s="163"/>
      <c r="AF184" s="76"/>
      <c r="AG184" s="161"/>
      <c r="AH184" s="173"/>
      <c r="AI184" s="167"/>
      <c r="AJ184" s="174"/>
      <c r="AK184" s="167"/>
      <c r="AL184" s="167"/>
      <c r="AM184" s="167"/>
      <c r="AN184" s="167"/>
      <c r="AO184" s="167"/>
      <c r="AP184" s="167"/>
      <c r="AQ184" s="157"/>
      <c r="AR184" s="284"/>
      <c r="AS184" s="284"/>
      <c r="AT184" s="284"/>
      <c r="AU184" s="284"/>
      <c r="AV184" s="184"/>
      <c r="AW184" s="186"/>
    </row>
    <row r="185" spans="2:49" ht="15.75" x14ac:dyDescent="0.25">
      <c r="B185" s="84"/>
      <c r="C185" s="192"/>
      <c r="D185" s="25"/>
      <c r="E185" s="239"/>
      <c r="F185" s="240"/>
      <c r="G185" s="113"/>
      <c r="H185" s="28"/>
      <c r="I185" s="27"/>
      <c r="J185" s="118"/>
      <c r="K185" s="113"/>
      <c r="L185" s="28"/>
      <c r="M185" s="27"/>
      <c r="N185" s="28"/>
      <c r="O185" s="72"/>
      <c r="P185" s="72"/>
      <c r="Q185" s="27"/>
      <c r="R185" s="157"/>
      <c r="S185" s="73"/>
      <c r="T185" s="25"/>
      <c r="U185" s="235"/>
      <c r="V185" s="25"/>
      <c r="W185" s="25"/>
      <c r="X185" s="25"/>
      <c r="Y185" s="29"/>
      <c r="Z185" s="160"/>
      <c r="AA185" s="279"/>
      <c r="AB185" s="76"/>
      <c r="AC185" s="281"/>
      <c r="AD185" s="161"/>
      <c r="AE185" s="163"/>
      <c r="AF185" s="76"/>
      <c r="AG185" s="161"/>
      <c r="AH185" s="173"/>
      <c r="AI185" s="167"/>
      <c r="AJ185" s="174"/>
      <c r="AK185" s="167"/>
      <c r="AL185" s="167"/>
      <c r="AM185" s="167"/>
      <c r="AN185" s="167"/>
      <c r="AO185" s="167"/>
      <c r="AP185" s="167"/>
      <c r="AQ185" s="157"/>
      <c r="AR185" s="284"/>
      <c r="AS185" s="284"/>
      <c r="AT185" s="284"/>
      <c r="AU185" s="284"/>
      <c r="AV185" s="184"/>
      <c r="AW185" s="186"/>
    </row>
    <row r="186" spans="2:49" ht="15.75" x14ac:dyDescent="0.25">
      <c r="B186" s="84"/>
      <c r="C186" s="192"/>
      <c r="D186" s="25"/>
      <c r="E186" s="239"/>
      <c r="F186" s="240"/>
      <c r="G186" s="113"/>
      <c r="H186" s="28"/>
      <c r="I186" s="27"/>
      <c r="J186" s="118"/>
      <c r="K186" s="113"/>
      <c r="L186" s="28"/>
      <c r="M186" s="27"/>
      <c r="N186" s="28"/>
      <c r="O186" s="72"/>
      <c r="P186" s="72"/>
      <c r="Q186" s="27"/>
      <c r="R186" s="157"/>
      <c r="S186" s="73"/>
      <c r="T186" s="25"/>
      <c r="U186" s="235"/>
      <c r="V186" s="25"/>
      <c r="W186" s="25"/>
      <c r="X186" s="25"/>
      <c r="Y186" s="29"/>
      <c r="Z186" s="160"/>
      <c r="AA186" s="279"/>
      <c r="AB186" s="76"/>
      <c r="AC186" s="281"/>
      <c r="AD186" s="161"/>
      <c r="AE186" s="163"/>
      <c r="AF186" s="76"/>
      <c r="AG186" s="161"/>
      <c r="AH186" s="173"/>
      <c r="AI186" s="167"/>
      <c r="AJ186" s="174"/>
      <c r="AK186" s="167"/>
      <c r="AL186" s="167"/>
      <c r="AM186" s="167"/>
      <c r="AN186" s="167"/>
      <c r="AO186" s="167"/>
      <c r="AP186" s="167"/>
      <c r="AQ186" s="157"/>
      <c r="AR186" s="284"/>
      <c r="AS186" s="284"/>
      <c r="AT186" s="284"/>
      <c r="AU186" s="284"/>
      <c r="AV186" s="184"/>
      <c r="AW186" s="186"/>
    </row>
    <row r="187" spans="2:49" ht="15.75" x14ac:dyDescent="0.25">
      <c r="B187" s="84"/>
      <c r="C187" s="192"/>
      <c r="D187" s="25"/>
      <c r="E187" s="239"/>
      <c r="F187" s="240"/>
      <c r="G187" s="113"/>
      <c r="H187" s="28"/>
      <c r="I187" s="27"/>
      <c r="J187" s="118"/>
      <c r="K187" s="113"/>
      <c r="L187" s="28"/>
      <c r="M187" s="27"/>
      <c r="N187" s="28"/>
      <c r="O187" s="72"/>
      <c r="P187" s="72"/>
      <c r="Q187" s="27"/>
      <c r="R187" s="157"/>
      <c r="S187" s="73"/>
      <c r="T187" s="25"/>
      <c r="U187" s="235"/>
      <c r="V187" s="25"/>
      <c r="W187" s="25"/>
      <c r="X187" s="25"/>
      <c r="Y187" s="29"/>
      <c r="Z187" s="160"/>
      <c r="AA187" s="279"/>
      <c r="AB187" s="76"/>
      <c r="AC187" s="281"/>
      <c r="AD187" s="161"/>
      <c r="AE187" s="163"/>
      <c r="AF187" s="76"/>
      <c r="AG187" s="161"/>
      <c r="AH187" s="173"/>
      <c r="AI187" s="167"/>
      <c r="AJ187" s="174"/>
      <c r="AK187" s="167"/>
      <c r="AL187" s="167"/>
      <c r="AM187" s="167"/>
      <c r="AN187" s="167"/>
      <c r="AO187" s="167"/>
      <c r="AP187" s="167"/>
      <c r="AQ187" s="157"/>
      <c r="AR187" s="284"/>
      <c r="AS187" s="284"/>
      <c r="AT187" s="284"/>
      <c r="AU187" s="284"/>
      <c r="AV187" s="184"/>
      <c r="AW187" s="186"/>
    </row>
    <row r="188" spans="2:49" ht="15.75" x14ac:dyDescent="0.25">
      <c r="B188" s="84"/>
      <c r="C188" s="192"/>
      <c r="D188" s="25"/>
      <c r="E188" s="239"/>
      <c r="F188" s="240"/>
      <c r="G188" s="113"/>
      <c r="H188" s="28"/>
      <c r="I188" s="27"/>
      <c r="J188" s="118"/>
      <c r="K188" s="113"/>
      <c r="L188" s="28"/>
      <c r="M188" s="27"/>
      <c r="N188" s="28"/>
      <c r="O188" s="72"/>
      <c r="P188" s="72"/>
      <c r="Q188" s="27"/>
      <c r="R188" s="157"/>
      <c r="S188" s="73"/>
      <c r="T188" s="25"/>
      <c r="U188" s="235"/>
      <c r="V188" s="25"/>
      <c r="W188" s="25"/>
      <c r="X188" s="25"/>
      <c r="Y188" s="29"/>
      <c r="Z188" s="160"/>
      <c r="AA188" s="279"/>
      <c r="AB188" s="76"/>
      <c r="AC188" s="281"/>
      <c r="AD188" s="161"/>
      <c r="AE188" s="163"/>
      <c r="AF188" s="76"/>
      <c r="AG188" s="161"/>
      <c r="AH188" s="173"/>
      <c r="AI188" s="167"/>
      <c r="AJ188" s="174"/>
      <c r="AK188" s="167"/>
      <c r="AL188" s="167"/>
      <c r="AM188" s="167"/>
      <c r="AN188" s="167"/>
      <c r="AO188" s="167"/>
      <c r="AP188" s="167"/>
      <c r="AQ188" s="157"/>
      <c r="AR188" s="284"/>
      <c r="AS188" s="284"/>
      <c r="AT188" s="284"/>
      <c r="AU188" s="284"/>
      <c r="AV188" s="184"/>
      <c r="AW188" s="186"/>
    </row>
    <row r="189" spans="2:49" ht="15.75" x14ac:dyDescent="0.25">
      <c r="B189" s="84"/>
      <c r="C189" s="192"/>
      <c r="D189" s="25"/>
      <c r="E189" s="72"/>
      <c r="F189" s="113"/>
      <c r="G189" s="113"/>
      <c r="H189" s="28"/>
      <c r="I189" s="27"/>
      <c r="J189" s="118"/>
      <c r="K189" s="113"/>
      <c r="L189" s="28"/>
      <c r="M189" s="27"/>
      <c r="N189" s="28"/>
      <c r="O189" s="72"/>
      <c r="P189" s="72"/>
      <c r="Q189" s="27"/>
      <c r="R189" s="157"/>
      <c r="S189" s="73"/>
      <c r="T189" s="25"/>
      <c r="U189" s="235"/>
      <c r="V189" s="25"/>
      <c r="W189" s="25"/>
      <c r="X189" s="25"/>
      <c r="Y189" s="29"/>
      <c r="Z189" s="160"/>
      <c r="AA189" s="279"/>
      <c r="AB189" s="76"/>
      <c r="AC189" s="281"/>
      <c r="AD189" s="161"/>
      <c r="AE189" s="163"/>
      <c r="AF189" s="76"/>
      <c r="AG189" s="161"/>
      <c r="AH189" s="173"/>
      <c r="AI189" s="167"/>
      <c r="AJ189" s="174"/>
      <c r="AK189" s="167"/>
      <c r="AL189" s="167"/>
      <c r="AM189" s="167"/>
      <c r="AN189" s="167"/>
      <c r="AO189" s="167"/>
      <c r="AP189" s="167"/>
      <c r="AQ189" s="157"/>
      <c r="AR189" s="284"/>
      <c r="AS189" s="284"/>
      <c r="AT189" s="284"/>
      <c r="AU189" s="284"/>
      <c r="AV189" s="184"/>
      <c r="AW189" s="186"/>
    </row>
    <row r="190" spans="2:49" ht="15.75" x14ac:dyDescent="0.25">
      <c r="B190" s="84"/>
      <c r="C190" s="192"/>
      <c r="D190" s="25"/>
      <c r="E190" s="239"/>
      <c r="F190" s="240"/>
      <c r="G190" s="113"/>
      <c r="H190" s="28"/>
      <c r="I190" s="27"/>
      <c r="J190" s="118"/>
      <c r="K190" s="113"/>
      <c r="L190" s="28"/>
      <c r="M190" s="27"/>
      <c r="N190" s="28"/>
      <c r="O190" s="72"/>
      <c r="P190" s="72"/>
      <c r="Q190" s="27"/>
      <c r="R190" s="157"/>
      <c r="S190" s="73"/>
      <c r="T190" s="25"/>
      <c r="U190" s="235"/>
      <c r="V190" s="25"/>
      <c r="W190" s="25"/>
      <c r="X190" s="25"/>
      <c r="Y190" s="29"/>
      <c r="Z190" s="160"/>
      <c r="AA190" s="279"/>
      <c r="AB190" s="76"/>
      <c r="AC190" s="281"/>
      <c r="AD190" s="161"/>
      <c r="AE190" s="163"/>
      <c r="AF190" s="76"/>
      <c r="AG190" s="161"/>
      <c r="AH190" s="173"/>
      <c r="AI190" s="167"/>
      <c r="AJ190" s="174"/>
      <c r="AK190" s="167"/>
      <c r="AL190" s="167"/>
      <c r="AM190" s="167"/>
      <c r="AN190" s="167"/>
      <c r="AO190" s="167"/>
      <c r="AP190" s="167"/>
      <c r="AQ190" s="157"/>
      <c r="AR190" s="284"/>
      <c r="AS190" s="284"/>
      <c r="AT190" s="284"/>
      <c r="AU190" s="284"/>
      <c r="AV190" s="184"/>
      <c r="AW190" s="186"/>
    </row>
    <row r="191" spans="2:49" ht="15.75" x14ac:dyDescent="0.25">
      <c r="B191" s="84"/>
      <c r="C191" s="192"/>
      <c r="D191" s="25"/>
      <c r="E191" s="239"/>
      <c r="F191" s="240"/>
      <c r="G191" s="113"/>
      <c r="H191" s="28"/>
      <c r="I191" s="27"/>
      <c r="J191" s="118"/>
      <c r="K191" s="113"/>
      <c r="L191" s="28"/>
      <c r="M191" s="27"/>
      <c r="N191" s="28"/>
      <c r="O191" s="72"/>
      <c r="P191" s="72"/>
      <c r="Q191" s="27"/>
      <c r="R191" s="157"/>
      <c r="S191" s="73"/>
      <c r="T191" s="25"/>
      <c r="U191" s="235"/>
      <c r="V191" s="25"/>
      <c r="W191" s="25"/>
      <c r="X191" s="25"/>
      <c r="Y191" s="29"/>
      <c r="Z191" s="160"/>
      <c r="AA191" s="279"/>
      <c r="AB191" s="76"/>
      <c r="AC191" s="281"/>
      <c r="AD191" s="161"/>
      <c r="AE191" s="163"/>
      <c r="AF191" s="76"/>
      <c r="AG191" s="161"/>
      <c r="AH191" s="173"/>
      <c r="AI191" s="167"/>
      <c r="AJ191" s="174"/>
      <c r="AK191" s="167"/>
      <c r="AL191" s="167"/>
      <c r="AM191" s="167"/>
      <c r="AN191" s="167"/>
      <c r="AO191" s="167"/>
      <c r="AP191" s="167"/>
      <c r="AQ191" s="157"/>
      <c r="AR191" s="284"/>
      <c r="AS191" s="284"/>
      <c r="AT191" s="284"/>
      <c r="AU191" s="284"/>
      <c r="AV191" s="184"/>
      <c r="AW191" s="186"/>
    </row>
    <row r="192" spans="2:49" ht="15.75" x14ac:dyDescent="0.25">
      <c r="B192" s="84"/>
      <c r="C192" s="192"/>
      <c r="D192" s="25"/>
      <c r="E192" s="239"/>
      <c r="F192" s="240"/>
      <c r="G192" s="113"/>
      <c r="H192" s="28"/>
      <c r="I192" s="27"/>
      <c r="J192" s="118"/>
      <c r="K192" s="113"/>
      <c r="L192" s="28"/>
      <c r="M192" s="27"/>
      <c r="N192" s="28"/>
      <c r="O192" s="72"/>
      <c r="P192" s="72"/>
      <c r="Q192" s="27"/>
      <c r="R192" s="157"/>
      <c r="S192" s="73"/>
      <c r="T192" s="25"/>
      <c r="U192" s="235"/>
      <c r="V192" s="25"/>
      <c r="W192" s="25"/>
      <c r="X192" s="25"/>
      <c r="Y192" s="29"/>
      <c r="Z192" s="160"/>
      <c r="AA192" s="279"/>
      <c r="AB192" s="76"/>
      <c r="AC192" s="281"/>
      <c r="AD192" s="161"/>
      <c r="AE192" s="163"/>
      <c r="AF192" s="76"/>
      <c r="AG192" s="161"/>
      <c r="AH192" s="173"/>
      <c r="AI192" s="167"/>
      <c r="AJ192" s="174"/>
      <c r="AK192" s="167"/>
      <c r="AL192" s="167"/>
      <c r="AM192" s="167"/>
      <c r="AN192" s="167"/>
      <c r="AO192" s="167"/>
      <c r="AP192" s="167"/>
      <c r="AQ192" s="157"/>
      <c r="AR192" s="284"/>
      <c r="AS192" s="284"/>
      <c r="AT192" s="284"/>
      <c r="AU192" s="284"/>
      <c r="AV192" s="184"/>
      <c r="AW192" s="186"/>
    </row>
    <row r="193" spans="2:49" ht="15.75" x14ac:dyDescent="0.25">
      <c r="B193" s="84"/>
      <c r="C193" s="192"/>
      <c r="D193" s="25"/>
      <c r="E193" s="72"/>
      <c r="F193" s="113"/>
      <c r="G193" s="113"/>
      <c r="H193" s="28"/>
      <c r="I193" s="27"/>
      <c r="J193" s="118"/>
      <c r="K193" s="113"/>
      <c r="L193" s="28"/>
      <c r="M193" s="27"/>
      <c r="N193" s="28"/>
      <c r="O193" s="72"/>
      <c r="P193" s="72"/>
      <c r="Q193" s="27"/>
      <c r="R193" s="157"/>
      <c r="S193" s="73"/>
      <c r="T193" s="25"/>
      <c r="U193" s="235"/>
      <c r="V193" s="25"/>
      <c r="W193" s="25"/>
      <c r="X193" s="25"/>
      <c r="Y193" s="29"/>
      <c r="Z193" s="160"/>
      <c r="AA193" s="279"/>
      <c r="AB193" s="76"/>
      <c r="AC193" s="281"/>
      <c r="AD193" s="161"/>
      <c r="AE193" s="163"/>
      <c r="AF193" s="76"/>
      <c r="AG193" s="161"/>
      <c r="AH193" s="173"/>
      <c r="AI193" s="167"/>
      <c r="AJ193" s="174"/>
      <c r="AK193" s="167"/>
      <c r="AL193" s="167"/>
      <c r="AM193" s="167"/>
      <c r="AN193" s="167"/>
      <c r="AO193" s="167"/>
      <c r="AP193" s="167"/>
      <c r="AQ193" s="157"/>
      <c r="AR193" s="284"/>
      <c r="AS193" s="284"/>
      <c r="AT193" s="284"/>
      <c r="AU193" s="284"/>
      <c r="AV193" s="184"/>
      <c r="AW193" s="186"/>
    </row>
    <row r="194" spans="2:49" ht="15.75" x14ac:dyDescent="0.25">
      <c r="B194" s="84"/>
      <c r="C194" s="192"/>
      <c r="D194" s="25"/>
      <c r="E194" s="239"/>
      <c r="F194" s="240"/>
      <c r="G194" s="113"/>
      <c r="H194" s="28"/>
      <c r="I194" s="27"/>
      <c r="J194" s="118"/>
      <c r="K194" s="113"/>
      <c r="L194" s="28"/>
      <c r="M194" s="27"/>
      <c r="N194" s="28"/>
      <c r="O194" s="72"/>
      <c r="P194" s="72"/>
      <c r="Q194" s="27"/>
      <c r="R194" s="157"/>
      <c r="S194" s="73"/>
      <c r="T194" s="25"/>
      <c r="U194" s="235"/>
      <c r="V194" s="25"/>
      <c r="W194" s="25"/>
      <c r="X194" s="25"/>
      <c r="Y194" s="29"/>
      <c r="Z194" s="160"/>
      <c r="AA194" s="279"/>
      <c r="AB194" s="76"/>
      <c r="AC194" s="281"/>
      <c r="AD194" s="161"/>
      <c r="AE194" s="163"/>
      <c r="AF194" s="76"/>
      <c r="AG194" s="161"/>
      <c r="AH194" s="173"/>
      <c r="AI194" s="167"/>
      <c r="AJ194" s="174"/>
      <c r="AK194" s="167"/>
      <c r="AL194" s="167"/>
      <c r="AM194" s="167"/>
      <c r="AN194" s="167"/>
      <c r="AO194" s="167"/>
      <c r="AP194" s="167"/>
      <c r="AQ194" s="157"/>
      <c r="AR194" s="284"/>
      <c r="AS194" s="284"/>
      <c r="AT194" s="284"/>
      <c r="AU194" s="284"/>
      <c r="AV194" s="184"/>
      <c r="AW194" s="186"/>
    </row>
    <row r="195" spans="2:49" ht="15.75" x14ac:dyDescent="0.25">
      <c r="B195" s="84"/>
      <c r="C195" s="192"/>
      <c r="D195" s="25"/>
      <c r="E195" s="239"/>
      <c r="F195" s="240"/>
      <c r="G195" s="113"/>
      <c r="H195" s="28"/>
      <c r="I195" s="27"/>
      <c r="J195" s="118"/>
      <c r="K195" s="113"/>
      <c r="L195" s="28"/>
      <c r="M195" s="27"/>
      <c r="N195" s="28"/>
      <c r="O195" s="72"/>
      <c r="P195" s="72"/>
      <c r="Q195" s="27"/>
      <c r="R195" s="157"/>
      <c r="S195" s="73"/>
      <c r="T195" s="25"/>
      <c r="U195" s="235"/>
      <c r="V195" s="25"/>
      <c r="W195" s="25"/>
      <c r="X195" s="25"/>
      <c r="Y195" s="29"/>
      <c r="Z195" s="160"/>
      <c r="AA195" s="279"/>
      <c r="AB195" s="76"/>
      <c r="AC195" s="281"/>
      <c r="AD195" s="161"/>
      <c r="AE195" s="163"/>
      <c r="AF195" s="76"/>
      <c r="AG195" s="161"/>
      <c r="AH195" s="173"/>
      <c r="AI195" s="167"/>
      <c r="AJ195" s="174"/>
      <c r="AK195" s="167"/>
      <c r="AL195" s="167"/>
      <c r="AM195" s="167"/>
      <c r="AN195" s="167"/>
      <c r="AO195" s="167"/>
      <c r="AP195" s="167"/>
      <c r="AQ195" s="157"/>
      <c r="AR195" s="284"/>
      <c r="AS195" s="284"/>
      <c r="AT195" s="284"/>
      <c r="AU195" s="284"/>
      <c r="AV195" s="184"/>
      <c r="AW195" s="186"/>
    </row>
    <row r="196" spans="2:49" ht="15.75" x14ac:dyDescent="0.25">
      <c r="B196" s="84"/>
      <c r="C196" s="192"/>
      <c r="D196" s="25"/>
      <c r="E196" s="72"/>
      <c r="F196" s="113"/>
      <c r="G196" s="113"/>
      <c r="H196" s="28"/>
      <c r="I196" s="27"/>
      <c r="J196" s="118"/>
      <c r="K196" s="113"/>
      <c r="L196" s="28"/>
      <c r="M196" s="27"/>
      <c r="N196" s="28"/>
      <c r="O196" s="72"/>
      <c r="P196" s="72"/>
      <c r="Q196" s="27"/>
      <c r="R196" s="157"/>
      <c r="S196" s="73"/>
      <c r="T196" s="25"/>
      <c r="U196" s="235"/>
      <c r="V196" s="25"/>
      <c r="W196" s="25"/>
      <c r="X196" s="25"/>
      <c r="Y196" s="29"/>
      <c r="Z196" s="160"/>
      <c r="AA196" s="279"/>
      <c r="AB196" s="76"/>
      <c r="AC196" s="281"/>
      <c r="AD196" s="161"/>
      <c r="AE196" s="163"/>
      <c r="AF196" s="76"/>
      <c r="AG196" s="161"/>
      <c r="AH196" s="173"/>
      <c r="AI196" s="167"/>
      <c r="AJ196" s="174"/>
      <c r="AK196" s="167"/>
      <c r="AL196" s="167"/>
      <c r="AM196" s="167"/>
      <c r="AN196" s="167"/>
      <c r="AO196" s="167"/>
      <c r="AP196" s="167"/>
      <c r="AQ196" s="157"/>
      <c r="AR196" s="284"/>
      <c r="AS196" s="284"/>
      <c r="AT196" s="284"/>
      <c r="AU196" s="284"/>
      <c r="AV196" s="184"/>
      <c r="AW196" s="186"/>
    </row>
    <row r="197" spans="2:49" ht="15.75" x14ac:dyDescent="0.25">
      <c r="B197" s="84"/>
      <c r="C197" s="192"/>
      <c r="D197" s="25"/>
      <c r="E197" s="239"/>
      <c r="F197" s="240"/>
      <c r="G197" s="113"/>
      <c r="H197" s="28"/>
      <c r="I197" s="27"/>
      <c r="J197" s="118"/>
      <c r="K197" s="113"/>
      <c r="L197" s="28"/>
      <c r="M197" s="27"/>
      <c r="N197" s="28"/>
      <c r="O197" s="72"/>
      <c r="P197" s="72"/>
      <c r="Q197" s="27"/>
      <c r="R197" s="157"/>
      <c r="S197" s="73"/>
      <c r="T197" s="25"/>
      <c r="U197" s="235"/>
      <c r="V197" s="25"/>
      <c r="W197" s="25"/>
      <c r="X197" s="25"/>
      <c r="Y197" s="29"/>
      <c r="Z197" s="160"/>
      <c r="AA197" s="279"/>
      <c r="AB197" s="76"/>
      <c r="AC197" s="281"/>
      <c r="AD197" s="161"/>
      <c r="AE197" s="163"/>
      <c r="AF197" s="76"/>
      <c r="AG197" s="161"/>
      <c r="AH197" s="173"/>
      <c r="AI197" s="167"/>
      <c r="AJ197" s="174"/>
      <c r="AK197" s="167"/>
      <c r="AL197" s="167"/>
      <c r="AM197" s="167"/>
      <c r="AN197" s="167"/>
      <c r="AO197" s="167"/>
      <c r="AP197" s="167"/>
      <c r="AQ197" s="157"/>
      <c r="AR197" s="284"/>
      <c r="AS197" s="284"/>
      <c r="AT197" s="284"/>
      <c r="AU197" s="284"/>
      <c r="AV197" s="184"/>
      <c r="AW197" s="186"/>
    </row>
    <row r="198" spans="2:49" ht="15.75" x14ac:dyDescent="0.25">
      <c r="B198" s="84"/>
      <c r="C198" s="192"/>
      <c r="D198" s="25"/>
      <c r="E198" s="239"/>
      <c r="F198" s="240"/>
      <c r="G198" s="113"/>
      <c r="H198" s="28"/>
      <c r="I198" s="27"/>
      <c r="J198" s="118"/>
      <c r="K198" s="113"/>
      <c r="L198" s="28"/>
      <c r="M198" s="27"/>
      <c r="N198" s="28"/>
      <c r="O198" s="72"/>
      <c r="P198" s="72"/>
      <c r="Q198" s="27"/>
      <c r="R198" s="157"/>
      <c r="S198" s="73"/>
      <c r="T198" s="25"/>
      <c r="U198" s="235"/>
      <c r="V198" s="25"/>
      <c r="W198" s="25"/>
      <c r="X198" s="25"/>
      <c r="Y198" s="29"/>
      <c r="Z198" s="160"/>
      <c r="AA198" s="279"/>
      <c r="AB198" s="76"/>
      <c r="AC198" s="281"/>
      <c r="AD198" s="161"/>
      <c r="AE198" s="163"/>
      <c r="AF198" s="76"/>
      <c r="AG198" s="161"/>
      <c r="AH198" s="173"/>
      <c r="AI198" s="167"/>
      <c r="AJ198" s="174"/>
      <c r="AK198" s="167"/>
      <c r="AL198" s="167"/>
      <c r="AM198" s="167"/>
      <c r="AN198" s="167"/>
      <c r="AO198" s="167"/>
      <c r="AP198" s="167"/>
      <c r="AQ198" s="157"/>
      <c r="AR198" s="284"/>
      <c r="AS198" s="284"/>
      <c r="AT198" s="284"/>
      <c r="AU198" s="284"/>
      <c r="AV198" s="184"/>
      <c r="AW198" s="186"/>
    </row>
    <row r="199" spans="2:49" ht="15.75" x14ac:dyDescent="0.25">
      <c r="B199" s="84"/>
      <c r="C199" s="192"/>
      <c r="D199" s="25"/>
      <c r="E199" s="239"/>
      <c r="F199" s="240"/>
      <c r="G199" s="113"/>
      <c r="H199" s="28"/>
      <c r="I199" s="27"/>
      <c r="J199" s="118"/>
      <c r="K199" s="113"/>
      <c r="L199" s="28"/>
      <c r="M199" s="27"/>
      <c r="N199" s="28"/>
      <c r="O199" s="72"/>
      <c r="P199" s="72"/>
      <c r="Q199" s="27"/>
      <c r="R199" s="157"/>
      <c r="S199" s="73"/>
      <c r="T199" s="25"/>
      <c r="U199" s="235"/>
      <c r="V199" s="25"/>
      <c r="W199" s="25"/>
      <c r="X199" s="25"/>
      <c r="Y199" s="29"/>
      <c r="Z199" s="160"/>
      <c r="AA199" s="279"/>
      <c r="AB199" s="76"/>
      <c r="AC199" s="281"/>
      <c r="AD199" s="161"/>
      <c r="AE199" s="163"/>
      <c r="AF199" s="76"/>
      <c r="AG199" s="161"/>
      <c r="AH199" s="173"/>
      <c r="AI199" s="167"/>
      <c r="AJ199" s="174"/>
      <c r="AK199" s="167"/>
      <c r="AL199" s="167"/>
      <c r="AM199" s="167"/>
      <c r="AN199" s="167"/>
      <c r="AO199" s="167"/>
      <c r="AP199" s="167"/>
      <c r="AQ199" s="157"/>
      <c r="AR199" s="284"/>
      <c r="AS199" s="284"/>
      <c r="AT199" s="284"/>
      <c r="AU199" s="284"/>
      <c r="AV199" s="184"/>
      <c r="AW199" s="186"/>
    </row>
    <row r="200" spans="2:49" ht="15.75" x14ac:dyDescent="0.25">
      <c r="B200" s="84"/>
      <c r="C200" s="192"/>
      <c r="D200" s="25"/>
      <c r="E200" s="72"/>
      <c r="F200" s="113"/>
      <c r="G200" s="113"/>
      <c r="H200" s="28"/>
      <c r="I200" s="27"/>
      <c r="J200" s="118"/>
      <c r="K200" s="113"/>
      <c r="L200" s="28"/>
      <c r="M200" s="27"/>
      <c r="N200" s="28"/>
      <c r="O200" s="72"/>
      <c r="P200" s="72"/>
      <c r="Q200" s="27"/>
      <c r="R200" s="157"/>
      <c r="S200" s="73"/>
      <c r="T200" s="25"/>
      <c r="U200" s="235"/>
      <c r="V200" s="25"/>
      <c r="W200" s="25"/>
      <c r="X200" s="25"/>
      <c r="Y200" s="29"/>
      <c r="Z200" s="160"/>
      <c r="AA200" s="279"/>
      <c r="AB200" s="76"/>
      <c r="AC200" s="281"/>
      <c r="AD200" s="161"/>
      <c r="AE200" s="163"/>
      <c r="AF200" s="76"/>
      <c r="AG200" s="161"/>
      <c r="AH200" s="173"/>
      <c r="AI200" s="167"/>
      <c r="AJ200" s="174"/>
      <c r="AK200" s="167"/>
      <c r="AL200" s="167"/>
      <c r="AM200" s="167"/>
      <c r="AN200" s="167"/>
      <c r="AO200" s="167"/>
      <c r="AP200" s="167"/>
      <c r="AQ200" s="157"/>
      <c r="AR200" s="284"/>
      <c r="AS200" s="284"/>
      <c r="AT200" s="284"/>
      <c r="AU200" s="284"/>
      <c r="AV200" s="184"/>
      <c r="AW200" s="186"/>
    </row>
    <row r="201" spans="2:49" ht="15.75" x14ac:dyDescent="0.25">
      <c r="B201" s="84"/>
      <c r="C201" s="192"/>
      <c r="D201" s="25"/>
      <c r="E201" s="239"/>
      <c r="F201" s="240"/>
      <c r="G201" s="113"/>
      <c r="H201" s="28"/>
      <c r="I201" s="27"/>
      <c r="J201" s="118"/>
      <c r="K201" s="113"/>
      <c r="L201" s="28"/>
      <c r="M201" s="27"/>
      <c r="N201" s="28"/>
      <c r="O201" s="72"/>
      <c r="P201" s="72"/>
      <c r="Q201" s="27"/>
      <c r="R201" s="157"/>
      <c r="S201" s="73"/>
      <c r="T201" s="25"/>
      <c r="U201" s="235"/>
      <c r="V201" s="25"/>
      <c r="W201" s="25"/>
      <c r="X201" s="25"/>
      <c r="Y201" s="29"/>
      <c r="Z201" s="160"/>
      <c r="AA201" s="279"/>
      <c r="AB201" s="76"/>
      <c r="AC201" s="281"/>
      <c r="AD201" s="161"/>
      <c r="AE201" s="163"/>
      <c r="AF201" s="76"/>
      <c r="AG201" s="161"/>
      <c r="AH201" s="173"/>
      <c r="AI201" s="167"/>
      <c r="AJ201" s="174"/>
      <c r="AK201" s="167"/>
      <c r="AL201" s="167"/>
      <c r="AM201" s="167"/>
      <c r="AN201" s="167"/>
      <c r="AO201" s="167"/>
      <c r="AP201" s="167"/>
      <c r="AQ201" s="157"/>
      <c r="AR201" s="284"/>
      <c r="AS201" s="284"/>
      <c r="AT201" s="284"/>
      <c r="AU201" s="284"/>
      <c r="AV201" s="184"/>
      <c r="AW201" s="186"/>
    </row>
    <row r="202" spans="2:49" ht="15.75" x14ac:dyDescent="0.25">
      <c r="B202" s="84"/>
      <c r="C202" s="192"/>
      <c r="D202" s="25"/>
      <c r="E202" s="239"/>
      <c r="F202" s="240"/>
      <c r="G202" s="113"/>
      <c r="H202" s="28"/>
      <c r="I202" s="27"/>
      <c r="J202" s="118"/>
      <c r="K202" s="113"/>
      <c r="L202" s="28"/>
      <c r="M202" s="27"/>
      <c r="N202" s="28"/>
      <c r="O202" s="72"/>
      <c r="P202" s="72"/>
      <c r="Q202" s="27"/>
      <c r="R202" s="157"/>
      <c r="S202" s="73"/>
      <c r="T202" s="25"/>
      <c r="U202" s="235"/>
      <c r="V202" s="25"/>
      <c r="W202" s="25"/>
      <c r="X202" s="25"/>
      <c r="Y202" s="29"/>
      <c r="Z202" s="160"/>
      <c r="AA202" s="279"/>
      <c r="AB202" s="76"/>
      <c r="AC202" s="281"/>
      <c r="AD202" s="161"/>
      <c r="AE202" s="163"/>
      <c r="AF202" s="76"/>
      <c r="AG202" s="161"/>
      <c r="AH202" s="173"/>
      <c r="AI202" s="167"/>
      <c r="AJ202" s="174"/>
      <c r="AK202" s="167"/>
      <c r="AL202" s="167"/>
      <c r="AM202" s="167"/>
      <c r="AN202" s="167"/>
      <c r="AO202" s="167"/>
      <c r="AP202" s="167"/>
      <c r="AQ202" s="157"/>
      <c r="AR202" s="284"/>
      <c r="AS202" s="284"/>
      <c r="AT202" s="284"/>
      <c r="AU202" s="284"/>
      <c r="AV202" s="184"/>
      <c r="AW202" s="186"/>
    </row>
    <row r="203" spans="2:49" ht="15.75" x14ac:dyDescent="0.25">
      <c r="B203" s="84"/>
      <c r="C203" s="192"/>
      <c r="D203" s="25"/>
      <c r="E203" s="72"/>
      <c r="F203" s="113"/>
      <c r="G203" s="113"/>
      <c r="H203" s="28"/>
      <c r="I203" s="27"/>
      <c r="J203" s="118"/>
      <c r="K203" s="113"/>
      <c r="L203" s="28"/>
      <c r="M203" s="27"/>
      <c r="N203" s="28"/>
      <c r="O203" s="72"/>
      <c r="P203" s="72"/>
      <c r="Q203" s="27"/>
      <c r="R203" s="157"/>
      <c r="S203" s="73"/>
      <c r="T203" s="25"/>
      <c r="U203" s="235"/>
      <c r="V203" s="25"/>
      <c r="W203" s="25"/>
      <c r="X203" s="25"/>
      <c r="Y203" s="29"/>
      <c r="Z203" s="160"/>
      <c r="AA203" s="279"/>
      <c r="AB203" s="76"/>
      <c r="AC203" s="281"/>
      <c r="AD203" s="161"/>
      <c r="AE203" s="163"/>
      <c r="AF203" s="76"/>
      <c r="AG203" s="161"/>
      <c r="AH203" s="173"/>
      <c r="AI203" s="167"/>
      <c r="AJ203" s="174"/>
      <c r="AK203" s="167"/>
      <c r="AL203" s="167"/>
      <c r="AM203" s="167"/>
      <c r="AN203" s="167"/>
      <c r="AO203" s="167"/>
      <c r="AP203" s="167"/>
      <c r="AQ203" s="157"/>
      <c r="AR203" s="284"/>
      <c r="AS203" s="284"/>
      <c r="AT203" s="284"/>
      <c r="AU203" s="284"/>
      <c r="AV203" s="184"/>
      <c r="AW203" s="186"/>
    </row>
    <row r="204" spans="2:49" ht="15.75" x14ac:dyDescent="0.25">
      <c r="B204" s="84"/>
      <c r="C204" s="192"/>
      <c r="D204" s="25"/>
      <c r="E204" s="238"/>
      <c r="F204" s="113"/>
      <c r="G204" s="113"/>
      <c r="H204" s="28"/>
      <c r="I204" s="27"/>
      <c r="J204" s="118"/>
      <c r="K204" s="113"/>
      <c r="L204" s="28"/>
      <c r="M204" s="27"/>
      <c r="N204" s="28"/>
      <c r="O204" s="72"/>
      <c r="P204" s="72"/>
      <c r="Q204" s="27"/>
      <c r="R204" s="157"/>
      <c r="S204" s="73"/>
      <c r="T204" s="25"/>
      <c r="U204" s="235"/>
      <c r="V204" s="25"/>
      <c r="W204" s="25"/>
      <c r="X204" s="25"/>
      <c r="Y204" s="29"/>
      <c r="Z204" s="160"/>
      <c r="AA204" s="279"/>
      <c r="AB204" s="76"/>
      <c r="AC204" s="281"/>
      <c r="AD204" s="161"/>
      <c r="AE204" s="163"/>
      <c r="AF204" s="76"/>
      <c r="AG204" s="161"/>
      <c r="AH204" s="173"/>
      <c r="AI204" s="167"/>
      <c r="AJ204" s="174"/>
      <c r="AK204" s="167"/>
      <c r="AL204" s="167"/>
      <c r="AM204" s="167"/>
      <c r="AN204" s="167"/>
      <c r="AO204" s="167"/>
      <c r="AP204" s="167"/>
      <c r="AQ204" s="157"/>
      <c r="AR204" s="284"/>
      <c r="AS204" s="284"/>
      <c r="AT204" s="284"/>
      <c r="AU204" s="284"/>
      <c r="AV204" s="184"/>
      <c r="AW204" s="186"/>
    </row>
    <row r="205" spans="2:49" ht="15.75" x14ac:dyDescent="0.25">
      <c r="B205" s="84"/>
      <c r="C205" s="192"/>
      <c r="D205" s="25"/>
      <c r="E205" s="236"/>
      <c r="F205" s="113"/>
      <c r="G205" s="113"/>
      <c r="H205" s="28"/>
      <c r="I205" s="27"/>
      <c r="J205" s="118"/>
      <c r="K205" s="113"/>
      <c r="L205" s="28"/>
      <c r="M205" s="27"/>
      <c r="N205" s="28"/>
      <c r="O205" s="72"/>
      <c r="P205" s="72"/>
      <c r="Q205" s="27"/>
      <c r="R205" s="157"/>
      <c r="S205" s="73"/>
      <c r="T205" s="25"/>
      <c r="U205" s="235"/>
      <c r="V205" s="25"/>
      <c r="W205" s="25"/>
      <c r="X205" s="25"/>
      <c r="Y205" s="29"/>
      <c r="Z205" s="160"/>
      <c r="AA205" s="279"/>
      <c r="AB205" s="76"/>
      <c r="AC205" s="281"/>
      <c r="AD205" s="161"/>
      <c r="AE205" s="163"/>
      <c r="AF205" s="76"/>
      <c r="AG205" s="161"/>
      <c r="AH205" s="173"/>
      <c r="AI205" s="167"/>
      <c r="AJ205" s="174"/>
      <c r="AK205" s="167"/>
      <c r="AL205" s="167"/>
      <c r="AM205" s="167"/>
      <c r="AN205" s="167"/>
      <c r="AO205" s="167"/>
      <c r="AP205" s="167"/>
      <c r="AQ205" s="157"/>
      <c r="AR205" s="284"/>
      <c r="AS205" s="284"/>
      <c r="AT205" s="284"/>
      <c r="AU205" s="284"/>
      <c r="AV205" s="184"/>
      <c r="AW205" s="186"/>
    </row>
    <row r="206" spans="2:49" ht="15.75" x14ac:dyDescent="0.25">
      <c r="B206" s="84"/>
      <c r="C206" s="192"/>
      <c r="D206" s="25"/>
      <c r="E206" s="241"/>
      <c r="F206" s="113"/>
      <c r="G206" s="113"/>
      <c r="H206" s="28"/>
      <c r="I206" s="27"/>
      <c r="J206" s="118"/>
      <c r="K206" s="113"/>
      <c r="L206" s="28"/>
      <c r="M206" s="27"/>
      <c r="N206" s="28"/>
      <c r="O206" s="72"/>
      <c r="P206" s="72"/>
      <c r="Q206" s="27"/>
      <c r="R206" s="157"/>
      <c r="S206" s="73"/>
      <c r="T206" s="25"/>
      <c r="U206" s="235"/>
      <c r="V206" s="25"/>
      <c r="W206" s="25"/>
      <c r="X206" s="25"/>
      <c r="Y206" s="29"/>
      <c r="Z206" s="160"/>
      <c r="AA206" s="279"/>
      <c r="AB206" s="76"/>
      <c r="AC206" s="281"/>
      <c r="AD206" s="161"/>
      <c r="AE206" s="163"/>
      <c r="AF206" s="76"/>
      <c r="AG206" s="161"/>
      <c r="AH206" s="173"/>
      <c r="AI206" s="167"/>
      <c r="AJ206" s="174"/>
      <c r="AK206" s="167"/>
      <c r="AL206" s="167"/>
      <c r="AM206" s="167"/>
      <c r="AN206" s="167"/>
      <c r="AO206" s="167"/>
      <c r="AP206" s="167"/>
      <c r="AQ206" s="157"/>
      <c r="AR206" s="284"/>
      <c r="AS206" s="284"/>
      <c r="AT206" s="284"/>
      <c r="AU206" s="284"/>
      <c r="AV206" s="184"/>
      <c r="AW206" s="186"/>
    </row>
    <row r="207" spans="2:49" ht="15.75" x14ac:dyDescent="0.25">
      <c r="B207" s="84"/>
      <c r="C207" s="192"/>
      <c r="D207" s="25"/>
      <c r="E207" s="72"/>
      <c r="F207" s="113"/>
      <c r="G207" s="113"/>
      <c r="H207" s="28"/>
      <c r="I207" s="27"/>
      <c r="J207" s="118"/>
      <c r="K207" s="113"/>
      <c r="L207" s="28"/>
      <c r="M207" s="27"/>
      <c r="N207" s="28"/>
      <c r="O207" s="72"/>
      <c r="P207" s="72"/>
      <c r="Q207" s="27"/>
      <c r="R207" s="157"/>
      <c r="S207" s="73"/>
      <c r="T207" s="25"/>
      <c r="U207" s="235"/>
      <c r="V207" s="25"/>
      <c r="W207" s="25"/>
      <c r="X207" s="25"/>
      <c r="Y207" s="29"/>
      <c r="Z207" s="160"/>
      <c r="AA207" s="279"/>
      <c r="AB207" s="76"/>
      <c r="AC207" s="281"/>
      <c r="AD207" s="161"/>
      <c r="AE207" s="163"/>
      <c r="AF207" s="76"/>
      <c r="AG207" s="161"/>
      <c r="AH207" s="173"/>
      <c r="AI207" s="167"/>
      <c r="AJ207" s="174"/>
      <c r="AK207" s="167"/>
      <c r="AL207" s="167"/>
      <c r="AM207" s="167"/>
      <c r="AN207" s="167"/>
      <c r="AO207" s="167"/>
      <c r="AP207" s="167"/>
      <c r="AQ207" s="157"/>
      <c r="AR207" s="284"/>
      <c r="AS207" s="284"/>
      <c r="AT207" s="284"/>
      <c r="AU207" s="284"/>
      <c r="AV207" s="184"/>
      <c r="AW207" s="186"/>
    </row>
    <row r="208" spans="2:49" ht="15.75" x14ac:dyDescent="0.25">
      <c r="B208" s="84"/>
      <c r="C208" s="192"/>
      <c r="D208" s="25"/>
      <c r="E208" s="241"/>
      <c r="F208" s="113"/>
      <c r="G208" s="113"/>
      <c r="H208" s="28"/>
      <c r="I208" s="27"/>
      <c r="J208" s="118"/>
      <c r="K208" s="113"/>
      <c r="L208" s="28"/>
      <c r="M208" s="27"/>
      <c r="N208" s="28"/>
      <c r="O208" s="72"/>
      <c r="P208" s="72"/>
      <c r="Q208" s="27"/>
      <c r="R208" s="157"/>
      <c r="S208" s="73"/>
      <c r="T208" s="25"/>
      <c r="U208" s="235"/>
      <c r="V208" s="25"/>
      <c r="W208" s="25"/>
      <c r="X208" s="25"/>
      <c r="Y208" s="29"/>
      <c r="Z208" s="160"/>
      <c r="AA208" s="279"/>
      <c r="AB208" s="76"/>
      <c r="AC208" s="281"/>
      <c r="AD208" s="161"/>
      <c r="AE208" s="163"/>
      <c r="AF208" s="76"/>
      <c r="AG208" s="161"/>
      <c r="AH208" s="173"/>
      <c r="AI208" s="167"/>
      <c r="AJ208" s="174"/>
      <c r="AK208" s="167"/>
      <c r="AL208" s="167"/>
      <c r="AM208" s="167"/>
      <c r="AN208" s="167"/>
      <c r="AO208" s="167"/>
      <c r="AP208" s="167"/>
      <c r="AQ208" s="157"/>
      <c r="AR208" s="284"/>
      <c r="AS208" s="284"/>
      <c r="AT208" s="284"/>
      <c r="AU208" s="284"/>
      <c r="AV208" s="184"/>
      <c r="AW208" s="186"/>
    </row>
    <row r="209" spans="2:49" ht="15.75" x14ac:dyDescent="0.25">
      <c r="B209" s="84"/>
      <c r="C209" s="192"/>
      <c r="D209" s="25"/>
      <c r="E209" s="241"/>
      <c r="F209" s="113"/>
      <c r="G209" s="113"/>
      <c r="H209" s="28"/>
      <c r="I209" s="27"/>
      <c r="J209" s="118"/>
      <c r="K209" s="113"/>
      <c r="L209" s="28"/>
      <c r="M209" s="27"/>
      <c r="N209" s="28"/>
      <c r="O209" s="72"/>
      <c r="P209" s="72"/>
      <c r="Q209" s="27"/>
      <c r="R209" s="157"/>
      <c r="S209" s="73"/>
      <c r="T209" s="25"/>
      <c r="U209" s="235"/>
      <c r="V209" s="25"/>
      <c r="W209" s="25"/>
      <c r="X209" s="25"/>
      <c r="Y209" s="29"/>
      <c r="Z209" s="160"/>
      <c r="AA209" s="279"/>
      <c r="AB209" s="76"/>
      <c r="AC209" s="281"/>
      <c r="AD209" s="161"/>
      <c r="AE209" s="163"/>
      <c r="AF209" s="76"/>
      <c r="AG209" s="161"/>
      <c r="AH209" s="173"/>
      <c r="AI209" s="167"/>
      <c r="AJ209" s="174"/>
      <c r="AK209" s="167"/>
      <c r="AL209" s="167"/>
      <c r="AM209" s="167"/>
      <c r="AN209" s="167"/>
      <c r="AO209" s="167"/>
      <c r="AP209" s="167"/>
      <c r="AQ209" s="157"/>
      <c r="AR209" s="284"/>
      <c r="AS209" s="284"/>
      <c r="AT209" s="284"/>
      <c r="AU209" s="284"/>
      <c r="AV209" s="184"/>
      <c r="AW209" s="186"/>
    </row>
    <row r="210" spans="2:49" ht="15.75" x14ac:dyDescent="0.25">
      <c r="B210" s="84"/>
      <c r="C210" s="192"/>
      <c r="D210" s="25"/>
      <c r="E210" s="241"/>
      <c r="F210" s="113"/>
      <c r="G210" s="113"/>
      <c r="H210" s="28"/>
      <c r="I210" s="27"/>
      <c r="J210" s="118"/>
      <c r="K210" s="113"/>
      <c r="L210" s="28"/>
      <c r="M210" s="27"/>
      <c r="N210" s="28"/>
      <c r="O210" s="72"/>
      <c r="P210" s="72"/>
      <c r="Q210" s="27"/>
      <c r="R210" s="157"/>
      <c r="S210" s="73"/>
      <c r="T210" s="25"/>
      <c r="U210" s="235"/>
      <c r="V210" s="25"/>
      <c r="W210" s="25"/>
      <c r="X210" s="25"/>
      <c r="Y210" s="29"/>
      <c r="Z210" s="160"/>
      <c r="AA210" s="279"/>
      <c r="AB210" s="76"/>
      <c r="AC210" s="281"/>
      <c r="AD210" s="161"/>
      <c r="AE210" s="163"/>
      <c r="AF210" s="76"/>
      <c r="AG210" s="161"/>
      <c r="AH210" s="173"/>
      <c r="AI210" s="167"/>
      <c r="AJ210" s="174"/>
      <c r="AK210" s="167"/>
      <c r="AL210" s="167"/>
      <c r="AM210" s="167"/>
      <c r="AN210" s="167"/>
      <c r="AO210" s="167"/>
      <c r="AP210" s="167"/>
      <c r="AQ210" s="157"/>
      <c r="AR210" s="284"/>
      <c r="AS210" s="284"/>
      <c r="AT210" s="284"/>
      <c r="AU210" s="284"/>
      <c r="AV210" s="184"/>
      <c r="AW210" s="186"/>
    </row>
    <row r="211" spans="2:49" ht="15.75" x14ac:dyDescent="0.25">
      <c r="B211" s="84"/>
      <c r="C211" s="192"/>
      <c r="D211" s="25"/>
      <c r="E211" s="241"/>
      <c r="F211" s="113"/>
      <c r="G211" s="113"/>
      <c r="H211" s="28"/>
      <c r="I211" s="27"/>
      <c r="J211" s="118"/>
      <c r="K211" s="113"/>
      <c r="L211" s="28"/>
      <c r="M211" s="27"/>
      <c r="N211" s="28"/>
      <c r="O211" s="72"/>
      <c r="P211" s="72"/>
      <c r="Q211" s="27"/>
      <c r="R211" s="157"/>
      <c r="S211" s="73"/>
      <c r="T211" s="25"/>
      <c r="U211" s="235"/>
      <c r="V211" s="25"/>
      <c r="W211" s="25"/>
      <c r="X211" s="25"/>
      <c r="Y211" s="29"/>
      <c r="Z211" s="160"/>
      <c r="AA211" s="279"/>
      <c r="AB211" s="76"/>
      <c r="AC211" s="281"/>
      <c r="AD211" s="161"/>
      <c r="AE211" s="163"/>
      <c r="AF211" s="76"/>
      <c r="AG211" s="161"/>
      <c r="AH211" s="173"/>
      <c r="AI211" s="167"/>
      <c r="AJ211" s="174"/>
      <c r="AK211" s="167"/>
      <c r="AL211" s="167"/>
      <c r="AM211" s="167"/>
      <c r="AN211" s="167"/>
      <c r="AO211" s="167"/>
      <c r="AP211" s="167"/>
      <c r="AQ211" s="157"/>
      <c r="AR211" s="284"/>
      <c r="AS211" s="284"/>
      <c r="AT211" s="284"/>
      <c r="AU211" s="284"/>
      <c r="AV211" s="184"/>
      <c r="AW211" s="186"/>
    </row>
    <row r="212" spans="2:49" ht="15.75" x14ac:dyDescent="0.25">
      <c r="B212" s="84"/>
      <c r="C212" s="192"/>
      <c r="D212" s="25"/>
      <c r="E212" s="241"/>
      <c r="F212" s="113"/>
      <c r="G212" s="113"/>
      <c r="H212" s="28"/>
      <c r="I212" s="27"/>
      <c r="J212" s="118"/>
      <c r="K212" s="113"/>
      <c r="L212" s="28"/>
      <c r="M212" s="27"/>
      <c r="N212" s="28"/>
      <c r="O212" s="72"/>
      <c r="P212" s="72"/>
      <c r="Q212" s="27"/>
      <c r="R212" s="157"/>
      <c r="S212" s="73"/>
      <c r="T212" s="25"/>
      <c r="U212" s="235"/>
      <c r="V212" s="25"/>
      <c r="W212" s="25"/>
      <c r="X212" s="25"/>
      <c r="Y212" s="29"/>
      <c r="Z212" s="160"/>
      <c r="AA212" s="279"/>
      <c r="AB212" s="76"/>
      <c r="AC212" s="281"/>
      <c r="AD212" s="161"/>
      <c r="AE212" s="163"/>
      <c r="AF212" s="76"/>
      <c r="AG212" s="161"/>
      <c r="AH212" s="173"/>
      <c r="AI212" s="167"/>
      <c r="AJ212" s="174"/>
      <c r="AK212" s="167"/>
      <c r="AL212" s="167"/>
      <c r="AM212" s="167"/>
      <c r="AN212" s="167"/>
      <c r="AO212" s="167"/>
      <c r="AP212" s="167"/>
      <c r="AQ212" s="157"/>
      <c r="AR212" s="284"/>
      <c r="AS212" s="284"/>
      <c r="AT212" s="284"/>
      <c r="AU212" s="284"/>
      <c r="AV212" s="184"/>
      <c r="AW212" s="186"/>
    </row>
    <row r="213" spans="2:49" ht="15.75" x14ac:dyDescent="0.25">
      <c r="B213" s="84"/>
      <c r="C213" s="192"/>
      <c r="D213" s="25"/>
      <c r="E213" s="72"/>
      <c r="F213" s="113"/>
      <c r="G213" s="113"/>
      <c r="H213" s="28"/>
      <c r="I213" s="27"/>
      <c r="J213" s="118"/>
      <c r="K213" s="113"/>
      <c r="L213" s="28"/>
      <c r="M213" s="27"/>
      <c r="N213" s="28"/>
      <c r="O213" s="72"/>
      <c r="P213" s="72"/>
      <c r="Q213" s="27"/>
      <c r="R213" s="157"/>
      <c r="S213" s="73"/>
      <c r="T213" s="25"/>
      <c r="U213" s="235"/>
      <c r="V213" s="25"/>
      <c r="W213" s="25"/>
      <c r="X213" s="25"/>
      <c r="Y213" s="29"/>
      <c r="Z213" s="160"/>
      <c r="AA213" s="279"/>
      <c r="AB213" s="76"/>
      <c r="AC213" s="281"/>
      <c r="AD213" s="161"/>
      <c r="AE213" s="163"/>
      <c r="AF213" s="76"/>
      <c r="AG213" s="161"/>
      <c r="AH213" s="173"/>
      <c r="AI213" s="167"/>
      <c r="AJ213" s="174"/>
      <c r="AK213" s="167"/>
      <c r="AL213" s="167"/>
      <c r="AM213" s="167"/>
      <c r="AN213" s="167"/>
      <c r="AO213" s="167"/>
      <c r="AP213" s="167"/>
      <c r="AQ213" s="157"/>
      <c r="AR213" s="284"/>
      <c r="AS213" s="284"/>
      <c r="AT213" s="284"/>
      <c r="AU213" s="284"/>
      <c r="AV213" s="184"/>
      <c r="AW213" s="186"/>
    </row>
    <row r="214" spans="2:49" ht="15.75" x14ac:dyDescent="0.25">
      <c r="B214" s="84"/>
      <c r="C214" s="192"/>
      <c r="D214" s="25"/>
      <c r="E214" s="241"/>
      <c r="F214" s="113"/>
      <c r="G214" s="113"/>
      <c r="H214" s="28"/>
      <c r="I214" s="27"/>
      <c r="J214" s="118"/>
      <c r="K214" s="113"/>
      <c r="L214" s="28"/>
      <c r="M214" s="27"/>
      <c r="N214" s="28"/>
      <c r="O214" s="72"/>
      <c r="P214" s="72"/>
      <c r="Q214" s="27"/>
      <c r="R214" s="157"/>
      <c r="S214" s="73"/>
      <c r="T214" s="25"/>
      <c r="U214" s="235"/>
      <c r="V214" s="25"/>
      <c r="W214" s="25"/>
      <c r="X214" s="25"/>
      <c r="Y214" s="29"/>
      <c r="Z214" s="160"/>
      <c r="AA214" s="279"/>
      <c r="AB214" s="76"/>
      <c r="AC214" s="281"/>
      <c r="AD214" s="161"/>
      <c r="AE214" s="163"/>
      <c r="AF214" s="76"/>
      <c r="AG214" s="161"/>
      <c r="AH214" s="173"/>
      <c r="AI214" s="167"/>
      <c r="AJ214" s="174"/>
      <c r="AK214" s="167"/>
      <c r="AL214" s="167"/>
      <c r="AM214" s="167"/>
      <c r="AN214" s="167"/>
      <c r="AO214" s="167"/>
      <c r="AP214" s="167"/>
      <c r="AQ214" s="157"/>
      <c r="AR214" s="284"/>
      <c r="AS214" s="284"/>
      <c r="AT214" s="284"/>
      <c r="AU214" s="284"/>
      <c r="AV214" s="184"/>
      <c r="AW214" s="186"/>
    </row>
    <row r="215" spans="2:49" ht="15.75" x14ac:dyDescent="0.25">
      <c r="B215" s="84"/>
      <c r="C215" s="192"/>
      <c r="D215" s="25"/>
      <c r="E215" s="241"/>
      <c r="F215" s="113"/>
      <c r="G215" s="113"/>
      <c r="H215" s="28"/>
      <c r="I215" s="27"/>
      <c r="J215" s="118"/>
      <c r="K215" s="113"/>
      <c r="L215" s="28"/>
      <c r="M215" s="27"/>
      <c r="N215" s="28"/>
      <c r="O215" s="72"/>
      <c r="P215" s="72"/>
      <c r="Q215" s="27"/>
      <c r="R215" s="157"/>
      <c r="S215" s="73"/>
      <c r="T215" s="25"/>
      <c r="U215" s="235"/>
      <c r="V215" s="25"/>
      <c r="W215" s="25"/>
      <c r="X215" s="25"/>
      <c r="Y215" s="29"/>
      <c r="Z215" s="160"/>
      <c r="AA215" s="279"/>
      <c r="AB215" s="76"/>
      <c r="AC215" s="281"/>
      <c r="AD215" s="161"/>
      <c r="AE215" s="163"/>
      <c r="AF215" s="76"/>
      <c r="AG215" s="161"/>
      <c r="AH215" s="173"/>
      <c r="AI215" s="167"/>
      <c r="AJ215" s="174"/>
      <c r="AK215" s="167"/>
      <c r="AL215" s="167"/>
      <c r="AM215" s="167"/>
      <c r="AN215" s="167"/>
      <c r="AO215" s="167"/>
      <c r="AP215" s="167"/>
      <c r="AQ215" s="157"/>
      <c r="AR215" s="284"/>
      <c r="AS215" s="284"/>
      <c r="AT215" s="284"/>
      <c r="AU215" s="284"/>
      <c r="AV215" s="184"/>
      <c r="AW215" s="186"/>
    </row>
    <row r="216" spans="2:49" ht="15.75" x14ac:dyDescent="0.25">
      <c r="B216" s="84"/>
      <c r="C216" s="192"/>
      <c r="D216" s="25"/>
      <c r="E216" s="241"/>
      <c r="F216" s="113"/>
      <c r="G216" s="113"/>
      <c r="H216" s="28"/>
      <c r="I216" s="27"/>
      <c r="J216" s="118"/>
      <c r="K216" s="113"/>
      <c r="L216" s="28"/>
      <c r="M216" s="27"/>
      <c r="N216" s="28"/>
      <c r="O216" s="72"/>
      <c r="P216" s="72"/>
      <c r="Q216" s="27"/>
      <c r="R216" s="157"/>
      <c r="S216" s="73"/>
      <c r="T216" s="25"/>
      <c r="U216" s="235"/>
      <c r="V216" s="25"/>
      <c r="W216" s="25"/>
      <c r="X216" s="25"/>
      <c r="Y216" s="29"/>
      <c r="Z216" s="160"/>
      <c r="AA216" s="279"/>
      <c r="AB216" s="76"/>
      <c r="AC216" s="281"/>
      <c r="AD216" s="161"/>
      <c r="AE216" s="163"/>
      <c r="AF216" s="76"/>
      <c r="AG216" s="161"/>
      <c r="AH216" s="173"/>
      <c r="AI216" s="167"/>
      <c r="AJ216" s="174"/>
      <c r="AK216" s="167"/>
      <c r="AL216" s="167"/>
      <c r="AM216" s="167"/>
      <c r="AN216" s="167"/>
      <c r="AO216" s="167"/>
      <c r="AP216" s="167"/>
      <c r="AQ216" s="157"/>
      <c r="AR216" s="284"/>
      <c r="AS216" s="284"/>
      <c r="AT216" s="284"/>
      <c r="AU216" s="284"/>
      <c r="AV216" s="184"/>
      <c r="AW216" s="186"/>
    </row>
    <row r="217" spans="2:49" ht="15.75" x14ac:dyDescent="0.25">
      <c r="B217" s="84"/>
      <c r="C217" s="192"/>
      <c r="D217" s="25"/>
      <c r="E217" s="72"/>
      <c r="F217" s="113"/>
      <c r="G217" s="113"/>
      <c r="H217" s="28"/>
      <c r="I217" s="27"/>
      <c r="J217" s="118"/>
      <c r="K217" s="113"/>
      <c r="L217" s="28"/>
      <c r="M217" s="27"/>
      <c r="N217" s="28"/>
      <c r="O217" s="72"/>
      <c r="P217" s="72"/>
      <c r="Q217" s="27"/>
      <c r="R217" s="157"/>
      <c r="S217" s="73"/>
      <c r="T217" s="25"/>
      <c r="U217" s="235"/>
      <c r="V217" s="25"/>
      <c r="W217" s="25"/>
      <c r="X217" s="25"/>
      <c r="Y217" s="29"/>
      <c r="Z217" s="160"/>
      <c r="AA217" s="279"/>
      <c r="AB217" s="76"/>
      <c r="AC217" s="281"/>
      <c r="AD217" s="161"/>
      <c r="AE217" s="163"/>
      <c r="AF217" s="76"/>
      <c r="AG217" s="161"/>
      <c r="AH217" s="173"/>
      <c r="AI217" s="167"/>
      <c r="AJ217" s="174"/>
      <c r="AK217" s="167"/>
      <c r="AL217" s="167"/>
      <c r="AM217" s="167"/>
      <c r="AN217" s="167"/>
      <c r="AO217" s="167"/>
      <c r="AP217" s="167"/>
      <c r="AQ217" s="157"/>
      <c r="AR217" s="284"/>
      <c r="AS217" s="284"/>
      <c r="AT217" s="284"/>
      <c r="AU217" s="284"/>
      <c r="AV217" s="184"/>
      <c r="AW217" s="186"/>
    </row>
    <row r="218" spans="2:49" ht="15.75" x14ac:dyDescent="0.25">
      <c r="B218" s="84"/>
      <c r="C218" s="192"/>
      <c r="D218" s="25"/>
      <c r="E218" s="238"/>
      <c r="F218" s="113"/>
      <c r="G218" s="113"/>
      <c r="H218" s="28"/>
      <c r="I218" s="27"/>
      <c r="J218" s="118"/>
      <c r="K218" s="113"/>
      <c r="L218" s="28"/>
      <c r="M218" s="27"/>
      <c r="N218" s="28"/>
      <c r="O218" s="72"/>
      <c r="P218" s="72"/>
      <c r="Q218" s="27"/>
      <c r="R218" s="157"/>
      <c r="S218" s="73"/>
      <c r="T218" s="25"/>
      <c r="U218" s="235"/>
      <c r="V218" s="25"/>
      <c r="W218" s="25"/>
      <c r="X218" s="25"/>
      <c r="Y218" s="29"/>
      <c r="Z218" s="160"/>
      <c r="AA218" s="279"/>
      <c r="AB218" s="76"/>
      <c r="AC218" s="281"/>
      <c r="AD218" s="161"/>
      <c r="AE218" s="163"/>
      <c r="AF218" s="76"/>
      <c r="AG218" s="161"/>
      <c r="AH218" s="173"/>
      <c r="AI218" s="167"/>
      <c r="AJ218" s="174"/>
      <c r="AK218" s="167"/>
      <c r="AL218" s="167"/>
      <c r="AM218" s="167"/>
      <c r="AN218" s="167"/>
      <c r="AO218" s="167"/>
      <c r="AP218" s="167"/>
      <c r="AQ218" s="157"/>
      <c r="AR218" s="284"/>
      <c r="AS218" s="284"/>
      <c r="AT218" s="284"/>
      <c r="AU218" s="284"/>
      <c r="AV218" s="184"/>
      <c r="AW218" s="186"/>
    </row>
    <row r="219" spans="2:49" ht="15.75" x14ac:dyDescent="0.25">
      <c r="B219" s="84"/>
      <c r="C219" s="192"/>
      <c r="D219" s="25"/>
      <c r="E219" s="241"/>
      <c r="F219" s="113"/>
      <c r="G219" s="113"/>
      <c r="H219" s="28"/>
      <c r="I219" s="27"/>
      <c r="J219" s="118"/>
      <c r="K219" s="113"/>
      <c r="L219" s="28"/>
      <c r="M219" s="27"/>
      <c r="N219" s="28"/>
      <c r="O219" s="72"/>
      <c r="P219" s="72"/>
      <c r="Q219" s="27"/>
      <c r="R219" s="157"/>
      <c r="S219" s="73"/>
      <c r="T219" s="25"/>
      <c r="U219" s="235"/>
      <c r="V219" s="25"/>
      <c r="W219" s="25"/>
      <c r="X219" s="25"/>
      <c r="Y219" s="29"/>
      <c r="Z219" s="160"/>
      <c r="AA219" s="279"/>
      <c r="AB219" s="76"/>
      <c r="AC219" s="281"/>
      <c r="AD219" s="161"/>
      <c r="AE219" s="163"/>
      <c r="AF219" s="76"/>
      <c r="AG219" s="161"/>
      <c r="AH219" s="173"/>
      <c r="AI219" s="167"/>
      <c r="AJ219" s="174"/>
      <c r="AK219" s="167"/>
      <c r="AL219" s="167"/>
      <c r="AM219" s="167"/>
      <c r="AN219" s="167"/>
      <c r="AO219" s="167"/>
      <c r="AP219" s="167"/>
      <c r="AQ219" s="157"/>
      <c r="AR219" s="284"/>
      <c r="AS219" s="284"/>
      <c r="AT219" s="284"/>
      <c r="AU219" s="284"/>
      <c r="AV219" s="184"/>
      <c r="AW219" s="186"/>
    </row>
    <row r="220" spans="2:49" ht="15.75" x14ac:dyDescent="0.25">
      <c r="B220" s="84"/>
      <c r="C220" s="192"/>
      <c r="D220" s="25"/>
      <c r="E220" s="241"/>
      <c r="F220" s="113"/>
      <c r="G220" s="113"/>
      <c r="H220" s="28"/>
      <c r="I220" s="27"/>
      <c r="J220" s="118"/>
      <c r="K220" s="113"/>
      <c r="L220" s="28"/>
      <c r="M220" s="27"/>
      <c r="N220" s="28"/>
      <c r="O220" s="72"/>
      <c r="P220" s="72"/>
      <c r="Q220" s="27"/>
      <c r="R220" s="157"/>
      <c r="S220" s="73"/>
      <c r="T220" s="25"/>
      <c r="U220" s="235"/>
      <c r="V220" s="25"/>
      <c r="W220" s="25"/>
      <c r="X220" s="25"/>
      <c r="Y220" s="29"/>
      <c r="Z220" s="160"/>
      <c r="AA220" s="279"/>
      <c r="AB220" s="76"/>
      <c r="AC220" s="281"/>
      <c r="AD220" s="161"/>
      <c r="AE220" s="163"/>
      <c r="AF220" s="76"/>
      <c r="AG220" s="161"/>
      <c r="AH220" s="173"/>
      <c r="AI220" s="167"/>
      <c r="AJ220" s="174"/>
      <c r="AK220" s="167"/>
      <c r="AL220" s="167"/>
      <c r="AM220" s="167"/>
      <c r="AN220" s="167"/>
      <c r="AO220" s="167"/>
      <c r="AP220" s="167"/>
      <c r="AQ220" s="157"/>
      <c r="AR220" s="284"/>
      <c r="AS220" s="284"/>
      <c r="AT220" s="284"/>
      <c r="AU220" s="284"/>
      <c r="AV220" s="184"/>
      <c r="AW220" s="186"/>
    </row>
    <row r="221" spans="2:49" ht="15.75" x14ac:dyDescent="0.25">
      <c r="B221" s="84"/>
      <c r="C221" s="192"/>
      <c r="D221" s="25"/>
      <c r="E221" s="241"/>
      <c r="F221" s="113"/>
      <c r="G221" s="113"/>
      <c r="H221" s="28"/>
      <c r="I221" s="27"/>
      <c r="J221" s="118"/>
      <c r="K221" s="113"/>
      <c r="L221" s="28"/>
      <c r="M221" s="27"/>
      <c r="N221" s="28"/>
      <c r="O221" s="72"/>
      <c r="P221" s="72"/>
      <c r="Q221" s="27"/>
      <c r="R221" s="157"/>
      <c r="S221" s="73"/>
      <c r="T221" s="25"/>
      <c r="U221" s="235"/>
      <c r="V221" s="25"/>
      <c r="W221" s="25"/>
      <c r="X221" s="25"/>
      <c r="Y221" s="29"/>
      <c r="Z221" s="160"/>
      <c r="AA221" s="279"/>
      <c r="AB221" s="76"/>
      <c r="AC221" s="281"/>
      <c r="AD221" s="161"/>
      <c r="AE221" s="163"/>
      <c r="AF221" s="76"/>
      <c r="AG221" s="161"/>
      <c r="AH221" s="173"/>
      <c r="AI221" s="167"/>
      <c r="AJ221" s="174"/>
      <c r="AK221" s="167"/>
      <c r="AL221" s="167"/>
      <c r="AM221" s="167"/>
      <c r="AN221" s="167"/>
      <c r="AO221" s="167"/>
      <c r="AP221" s="167"/>
      <c r="AQ221" s="157"/>
      <c r="AR221" s="284"/>
      <c r="AS221" s="284"/>
      <c r="AT221" s="284"/>
      <c r="AU221" s="284"/>
      <c r="AV221" s="184"/>
      <c r="AW221" s="186"/>
    </row>
    <row r="222" spans="2:49" ht="15.75" x14ac:dyDescent="0.25">
      <c r="B222" s="84"/>
      <c r="C222" s="192"/>
      <c r="D222" s="25"/>
      <c r="E222" s="72"/>
      <c r="F222" s="113"/>
      <c r="G222" s="113"/>
      <c r="H222" s="28"/>
      <c r="I222" s="27"/>
      <c r="J222" s="118"/>
      <c r="K222" s="113"/>
      <c r="L222" s="28"/>
      <c r="M222" s="27"/>
      <c r="N222" s="28"/>
      <c r="O222" s="72"/>
      <c r="P222" s="72"/>
      <c r="Q222" s="27"/>
      <c r="R222" s="157"/>
      <c r="S222" s="73"/>
      <c r="T222" s="25"/>
      <c r="U222" s="235"/>
      <c r="V222" s="25"/>
      <c r="W222" s="25"/>
      <c r="X222" s="25"/>
      <c r="Y222" s="29"/>
      <c r="Z222" s="160"/>
      <c r="AA222" s="279"/>
      <c r="AB222" s="76"/>
      <c r="AC222" s="281"/>
      <c r="AD222" s="161"/>
      <c r="AE222" s="163"/>
      <c r="AF222" s="76"/>
      <c r="AG222" s="161"/>
      <c r="AH222" s="173"/>
      <c r="AI222" s="167"/>
      <c r="AJ222" s="174"/>
      <c r="AK222" s="167"/>
      <c r="AL222" s="167"/>
      <c r="AM222" s="167"/>
      <c r="AN222" s="167"/>
      <c r="AO222" s="167"/>
      <c r="AP222" s="167"/>
      <c r="AQ222" s="157"/>
      <c r="AR222" s="284"/>
      <c r="AS222" s="284"/>
      <c r="AT222" s="284"/>
      <c r="AU222" s="284"/>
      <c r="AV222" s="184"/>
      <c r="AW222" s="186"/>
    </row>
    <row r="223" spans="2:49" ht="15.75" x14ac:dyDescent="0.25">
      <c r="B223" s="84"/>
      <c r="C223" s="192"/>
      <c r="D223" s="25"/>
      <c r="E223" s="241"/>
      <c r="F223" s="113"/>
      <c r="G223" s="113"/>
      <c r="H223" s="28"/>
      <c r="I223" s="27"/>
      <c r="J223" s="118"/>
      <c r="K223" s="113"/>
      <c r="L223" s="28"/>
      <c r="M223" s="27"/>
      <c r="N223" s="28"/>
      <c r="O223" s="72"/>
      <c r="P223" s="72"/>
      <c r="Q223" s="27"/>
      <c r="R223" s="157"/>
      <c r="S223" s="73"/>
      <c r="T223" s="25"/>
      <c r="U223" s="235"/>
      <c r="V223" s="25"/>
      <c r="W223" s="25"/>
      <c r="X223" s="25"/>
      <c r="Y223" s="29"/>
      <c r="Z223" s="160"/>
      <c r="AA223" s="279"/>
      <c r="AB223" s="76"/>
      <c r="AC223" s="281"/>
      <c r="AD223" s="161"/>
      <c r="AE223" s="163"/>
      <c r="AF223" s="76"/>
      <c r="AG223" s="161"/>
      <c r="AH223" s="173"/>
      <c r="AI223" s="167"/>
      <c r="AJ223" s="174"/>
      <c r="AK223" s="167"/>
      <c r="AL223" s="167"/>
      <c r="AM223" s="167"/>
      <c r="AN223" s="167"/>
      <c r="AO223" s="167"/>
      <c r="AP223" s="167"/>
      <c r="AQ223" s="157"/>
      <c r="AR223" s="284"/>
      <c r="AS223" s="284"/>
      <c r="AT223" s="284"/>
      <c r="AU223" s="284"/>
      <c r="AV223" s="184"/>
      <c r="AW223" s="186"/>
    </row>
    <row r="224" spans="2:49" ht="15.75" x14ac:dyDescent="0.25">
      <c r="B224" s="84"/>
      <c r="C224" s="192"/>
      <c r="D224" s="25"/>
      <c r="E224" s="241"/>
      <c r="F224" s="113"/>
      <c r="G224" s="113"/>
      <c r="H224" s="28"/>
      <c r="I224" s="27"/>
      <c r="J224" s="118"/>
      <c r="K224" s="113"/>
      <c r="L224" s="28"/>
      <c r="M224" s="27"/>
      <c r="N224" s="28"/>
      <c r="O224" s="72"/>
      <c r="P224" s="72"/>
      <c r="Q224" s="27"/>
      <c r="R224" s="157"/>
      <c r="S224" s="73"/>
      <c r="T224" s="25"/>
      <c r="U224" s="235"/>
      <c r="V224" s="25"/>
      <c r="W224" s="25"/>
      <c r="X224" s="25"/>
      <c r="Y224" s="29"/>
      <c r="Z224" s="160"/>
      <c r="AA224" s="279"/>
      <c r="AB224" s="76"/>
      <c r="AC224" s="281"/>
      <c r="AD224" s="161"/>
      <c r="AE224" s="163"/>
      <c r="AF224" s="76"/>
      <c r="AG224" s="161"/>
      <c r="AH224" s="173"/>
      <c r="AI224" s="167"/>
      <c r="AJ224" s="174"/>
      <c r="AK224" s="167"/>
      <c r="AL224" s="167"/>
      <c r="AM224" s="167"/>
      <c r="AN224" s="167"/>
      <c r="AO224" s="167"/>
      <c r="AP224" s="167"/>
      <c r="AQ224" s="157"/>
      <c r="AR224" s="284"/>
      <c r="AS224" s="284"/>
      <c r="AT224" s="284"/>
      <c r="AU224" s="284"/>
      <c r="AV224" s="184"/>
      <c r="AW224" s="186"/>
    </row>
    <row r="225" spans="2:49" ht="15.75" x14ac:dyDescent="0.25">
      <c r="B225" s="84"/>
      <c r="C225" s="192"/>
      <c r="D225" s="25"/>
      <c r="E225" s="241"/>
      <c r="F225" s="113"/>
      <c r="G225" s="113"/>
      <c r="H225" s="28"/>
      <c r="I225" s="27"/>
      <c r="J225" s="118"/>
      <c r="K225" s="113"/>
      <c r="L225" s="28"/>
      <c r="M225" s="27"/>
      <c r="N225" s="28"/>
      <c r="O225" s="72"/>
      <c r="P225" s="72"/>
      <c r="Q225" s="27"/>
      <c r="R225" s="157"/>
      <c r="S225" s="73"/>
      <c r="T225" s="25"/>
      <c r="U225" s="235"/>
      <c r="V225" s="25"/>
      <c r="W225" s="25"/>
      <c r="X225" s="25"/>
      <c r="Y225" s="29"/>
      <c r="Z225" s="160"/>
      <c r="AA225" s="279"/>
      <c r="AB225" s="76"/>
      <c r="AC225" s="281"/>
      <c r="AD225" s="161"/>
      <c r="AE225" s="163"/>
      <c r="AF225" s="76"/>
      <c r="AG225" s="161"/>
      <c r="AH225" s="173"/>
      <c r="AI225" s="167"/>
      <c r="AJ225" s="174"/>
      <c r="AK225" s="167"/>
      <c r="AL225" s="167"/>
      <c r="AM225" s="167"/>
      <c r="AN225" s="167"/>
      <c r="AO225" s="167"/>
      <c r="AP225" s="167"/>
      <c r="AQ225" s="157"/>
      <c r="AR225" s="284"/>
      <c r="AS225" s="284"/>
      <c r="AT225" s="284"/>
      <c r="AU225" s="284"/>
      <c r="AV225" s="184"/>
      <c r="AW225" s="186"/>
    </row>
    <row r="226" spans="2:49" ht="15.75" x14ac:dyDescent="0.25">
      <c r="B226" s="84"/>
      <c r="C226" s="192"/>
      <c r="D226" s="25"/>
      <c r="E226" s="241"/>
      <c r="F226" s="113"/>
      <c r="G226" s="113"/>
      <c r="H226" s="28"/>
      <c r="I226" s="27"/>
      <c r="J226" s="118"/>
      <c r="K226" s="113"/>
      <c r="L226" s="28"/>
      <c r="M226" s="27"/>
      <c r="N226" s="28"/>
      <c r="O226" s="72"/>
      <c r="P226" s="72"/>
      <c r="Q226" s="27"/>
      <c r="R226" s="157"/>
      <c r="S226" s="73"/>
      <c r="T226" s="25"/>
      <c r="U226" s="235"/>
      <c r="V226" s="25"/>
      <c r="W226" s="25"/>
      <c r="X226" s="25"/>
      <c r="Y226" s="29"/>
      <c r="Z226" s="160"/>
      <c r="AA226" s="279"/>
      <c r="AB226" s="76"/>
      <c r="AC226" s="281"/>
      <c r="AD226" s="161"/>
      <c r="AE226" s="163"/>
      <c r="AF226" s="76"/>
      <c r="AG226" s="161"/>
      <c r="AH226" s="173"/>
      <c r="AI226" s="167"/>
      <c r="AJ226" s="174"/>
      <c r="AK226" s="167"/>
      <c r="AL226" s="167"/>
      <c r="AM226" s="167"/>
      <c r="AN226" s="167"/>
      <c r="AO226" s="167"/>
      <c r="AP226" s="167"/>
      <c r="AQ226" s="157"/>
      <c r="AR226" s="284"/>
      <c r="AS226" s="284"/>
      <c r="AT226" s="284"/>
      <c r="AU226" s="284"/>
      <c r="AV226" s="184"/>
      <c r="AW226" s="186"/>
    </row>
    <row r="227" spans="2:49" ht="15.75" x14ac:dyDescent="0.25">
      <c r="B227" s="84"/>
      <c r="C227" s="192"/>
      <c r="D227" s="25"/>
      <c r="E227" s="241"/>
      <c r="F227" s="113"/>
      <c r="G227" s="113"/>
      <c r="H227" s="28"/>
      <c r="I227" s="27"/>
      <c r="J227" s="118"/>
      <c r="K227" s="113"/>
      <c r="L227" s="28"/>
      <c r="M227" s="27"/>
      <c r="N227" s="28"/>
      <c r="O227" s="72"/>
      <c r="P227" s="72"/>
      <c r="Q227" s="27"/>
      <c r="R227" s="157"/>
      <c r="S227" s="73"/>
      <c r="T227" s="25"/>
      <c r="U227" s="235"/>
      <c r="V227" s="25"/>
      <c r="W227" s="25"/>
      <c r="X227" s="25"/>
      <c r="Y227" s="29"/>
      <c r="Z227" s="160"/>
      <c r="AA227" s="279"/>
      <c r="AB227" s="76"/>
      <c r="AC227" s="281"/>
      <c r="AD227" s="161"/>
      <c r="AE227" s="163"/>
      <c r="AF227" s="76"/>
      <c r="AG227" s="161"/>
      <c r="AH227" s="173"/>
      <c r="AI227" s="167"/>
      <c r="AJ227" s="174"/>
      <c r="AK227" s="167"/>
      <c r="AL227" s="167"/>
      <c r="AM227" s="167"/>
      <c r="AN227" s="167"/>
      <c r="AO227" s="167"/>
      <c r="AP227" s="167"/>
      <c r="AQ227" s="157"/>
      <c r="AR227" s="284"/>
      <c r="AS227" s="284"/>
      <c r="AT227" s="284"/>
      <c r="AU227" s="284"/>
      <c r="AV227" s="184"/>
      <c r="AW227" s="186"/>
    </row>
    <row r="228" spans="2:49" ht="15.75" x14ac:dyDescent="0.25">
      <c r="B228" s="84"/>
      <c r="C228" s="192"/>
      <c r="D228" s="25"/>
      <c r="E228" s="72"/>
      <c r="F228" s="113"/>
      <c r="G228" s="113"/>
      <c r="H228" s="28"/>
      <c r="I228" s="27"/>
      <c r="J228" s="118"/>
      <c r="K228" s="113"/>
      <c r="L228" s="28"/>
      <c r="M228" s="27"/>
      <c r="N228" s="28"/>
      <c r="O228" s="72"/>
      <c r="P228" s="72"/>
      <c r="Q228" s="27"/>
      <c r="R228" s="157"/>
      <c r="S228" s="73"/>
      <c r="T228" s="25"/>
      <c r="U228" s="235"/>
      <c r="V228" s="25"/>
      <c r="W228" s="25"/>
      <c r="X228" s="25"/>
      <c r="Y228" s="29"/>
      <c r="Z228" s="160"/>
      <c r="AA228" s="279"/>
      <c r="AB228" s="76"/>
      <c r="AC228" s="281"/>
      <c r="AD228" s="161"/>
      <c r="AE228" s="163"/>
      <c r="AF228" s="76"/>
      <c r="AG228" s="161"/>
      <c r="AH228" s="173"/>
      <c r="AI228" s="167"/>
      <c r="AJ228" s="174"/>
      <c r="AK228" s="167"/>
      <c r="AL228" s="167"/>
      <c r="AM228" s="167"/>
      <c r="AN228" s="167"/>
      <c r="AO228" s="167"/>
      <c r="AP228" s="167"/>
      <c r="AQ228" s="157"/>
      <c r="AR228" s="284"/>
      <c r="AS228" s="284"/>
      <c r="AT228" s="284"/>
      <c r="AU228" s="284"/>
      <c r="AV228" s="184"/>
      <c r="AW228" s="186"/>
    </row>
    <row r="229" spans="2:49" ht="15.75" x14ac:dyDescent="0.25">
      <c r="B229" s="84"/>
      <c r="C229" s="192"/>
      <c r="D229" s="25"/>
      <c r="E229" s="239"/>
      <c r="F229" s="240"/>
      <c r="G229" s="113"/>
      <c r="H229" s="28"/>
      <c r="I229" s="27"/>
      <c r="J229" s="118"/>
      <c r="K229" s="113"/>
      <c r="L229" s="28"/>
      <c r="M229" s="27"/>
      <c r="N229" s="28"/>
      <c r="O229" s="72"/>
      <c r="P229" s="72"/>
      <c r="Q229" s="27"/>
      <c r="R229" s="157"/>
      <c r="S229" s="73"/>
      <c r="T229" s="25"/>
      <c r="U229" s="235"/>
      <c r="V229" s="25"/>
      <c r="W229" s="25"/>
      <c r="X229" s="25"/>
      <c r="Y229" s="29"/>
      <c r="Z229" s="160"/>
      <c r="AA229" s="279"/>
      <c r="AB229" s="76"/>
      <c r="AC229" s="281"/>
      <c r="AD229" s="161"/>
      <c r="AE229" s="163"/>
      <c r="AF229" s="76"/>
      <c r="AG229" s="161"/>
      <c r="AH229" s="173"/>
      <c r="AI229" s="167"/>
      <c r="AJ229" s="174"/>
      <c r="AK229" s="167"/>
      <c r="AL229" s="167"/>
      <c r="AM229" s="167"/>
      <c r="AN229" s="167"/>
      <c r="AO229" s="167"/>
      <c r="AP229" s="167"/>
      <c r="AQ229" s="157"/>
      <c r="AR229" s="284"/>
      <c r="AS229" s="284"/>
      <c r="AT229" s="284"/>
      <c r="AU229" s="284"/>
      <c r="AV229" s="184"/>
      <c r="AW229" s="186"/>
    </row>
    <row r="230" spans="2:49" ht="15.75" x14ac:dyDescent="0.25">
      <c r="B230" s="84"/>
      <c r="C230" s="192"/>
      <c r="D230" s="25"/>
      <c r="E230" s="239"/>
      <c r="F230" s="240"/>
      <c r="G230" s="113"/>
      <c r="H230" s="28"/>
      <c r="I230" s="27"/>
      <c r="J230" s="118"/>
      <c r="K230" s="113"/>
      <c r="L230" s="28"/>
      <c r="M230" s="27"/>
      <c r="N230" s="28"/>
      <c r="O230" s="72"/>
      <c r="P230" s="72"/>
      <c r="Q230" s="27"/>
      <c r="R230" s="157"/>
      <c r="S230" s="73"/>
      <c r="T230" s="25"/>
      <c r="U230" s="235"/>
      <c r="V230" s="25"/>
      <c r="W230" s="25"/>
      <c r="X230" s="25"/>
      <c r="Y230" s="29"/>
      <c r="Z230" s="160"/>
      <c r="AA230" s="279"/>
      <c r="AB230" s="76"/>
      <c r="AC230" s="281"/>
      <c r="AD230" s="161"/>
      <c r="AE230" s="163"/>
      <c r="AF230" s="76"/>
      <c r="AG230" s="161"/>
      <c r="AH230" s="173"/>
      <c r="AI230" s="167"/>
      <c r="AJ230" s="174"/>
      <c r="AK230" s="167"/>
      <c r="AL230" s="167"/>
      <c r="AM230" s="167"/>
      <c r="AN230" s="167"/>
      <c r="AO230" s="167"/>
      <c r="AP230" s="167"/>
      <c r="AQ230" s="157"/>
      <c r="AR230" s="284"/>
      <c r="AS230" s="284"/>
      <c r="AT230" s="284"/>
      <c r="AU230" s="284"/>
      <c r="AV230" s="184"/>
      <c r="AW230" s="186"/>
    </row>
    <row r="231" spans="2:49" ht="15.75" x14ac:dyDescent="0.25">
      <c r="B231" s="84"/>
      <c r="C231" s="192"/>
      <c r="D231" s="25"/>
      <c r="E231" s="238"/>
      <c r="F231" s="113"/>
      <c r="G231" s="113"/>
      <c r="H231" s="28"/>
      <c r="I231" s="27"/>
      <c r="J231" s="118"/>
      <c r="K231" s="113"/>
      <c r="L231" s="28"/>
      <c r="M231" s="27"/>
      <c r="N231" s="28"/>
      <c r="O231" s="72"/>
      <c r="P231" s="72"/>
      <c r="Q231" s="27"/>
      <c r="R231" s="157"/>
      <c r="S231" s="73"/>
      <c r="T231" s="25"/>
      <c r="U231" s="235"/>
      <c r="V231" s="25"/>
      <c r="W231" s="25"/>
      <c r="X231" s="25"/>
      <c r="Y231" s="29"/>
      <c r="Z231" s="160"/>
      <c r="AA231" s="279"/>
      <c r="AB231" s="76"/>
      <c r="AC231" s="281"/>
      <c r="AD231" s="161"/>
      <c r="AE231" s="163"/>
      <c r="AF231" s="76"/>
      <c r="AG231" s="161"/>
      <c r="AH231" s="173"/>
      <c r="AI231" s="167"/>
      <c r="AJ231" s="174"/>
      <c r="AK231" s="167"/>
      <c r="AL231" s="167"/>
      <c r="AM231" s="167"/>
      <c r="AN231" s="167"/>
      <c r="AO231" s="167"/>
      <c r="AP231" s="167"/>
      <c r="AQ231" s="157"/>
      <c r="AR231" s="284"/>
      <c r="AS231" s="284"/>
      <c r="AT231" s="284"/>
      <c r="AU231" s="284"/>
      <c r="AV231" s="184"/>
      <c r="AW231" s="186"/>
    </row>
    <row r="232" spans="2:49" ht="15.75" x14ac:dyDescent="0.25">
      <c r="B232" s="84"/>
      <c r="C232" s="192"/>
      <c r="D232" s="25"/>
      <c r="E232" s="236"/>
      <c r="F232" s="113"/>
      <c r="G232" s="113"/>
      <c r="H232" s="28"/>
      <c r="I232" s="27"/>
      <c r="J232" s="118"/>
      <c r="K232" s="113"/>
      <c r="L232" s="28"/>
      <c r="M232" s="27"/>
      <c r="N232" s="28"/>
      <c r="O232" s="72"/>
      <c r="P232" s="72"/>
      <c r="Q232" s="27"/>
      <c r="R232" s="157"/>
      <c r="S232" s="73"/>
      <c r="T232" s="25"/>
      <c r="U232" s="235"/>
      <c r="V232" s="25"/>
      <c r="W232" s="25"/>
      <c r="X232" s="25"/>
      <c r="Y232" s="29"/>
      <c r="Z232" s="160"/>
      <c r="AA232" s="279"/>
      <c r="AB232" s="76"/>
      <c r="AC232" s="281"/>
      <c r="AD232" s="161"/>
      <c r="AE232" s="163"/>
      <c r="AF232" s="76"/>
      <c r="AG232" s="161"/>
      <c r="AH232" s="173"/>
      <c r="AI232" s="167"/>
      <c r="AJ232" s="174"/>
      <c r="AK232" s="167"/>
      <c r="AL232" s="167"/>
      <c r="AM232" s="167"/>
      <c r="AN232" s="167"/>
      <c r="AO232" s="167"/>
      <c r="AP232" s="167"/>
      <c r="AQ232" s="157"/>
      <c r="AR232" s="284"/>
      <c r="AS232" s="284"/>
      <c r="AT232" s="284"/>
      <c r="AU232" s="284"/>
      <c r="AV232" s="184"/>
      <c r="AW232" s="186"/>
    </row>
    <row r="233" spans="2:49" ht="15.75" x14ac:dyDescent="0.25">
      <c r="B233" s="84"/>
      <c r="C233" s="192"/>
      <c r="D233" s="25"/>
      <c r="E233" s="72"/>
      <c r="F233" s="113"/>
      <c r="G233" s="113"/>
      <c r="H233" s="28"/>
      <c r="I233" s="27"/>
      <c r="J233" s="118"/>
      <c r="K233" s="113"/>
      <c r="L233" s="28"/>
      <c r="M233" s="27"/>
      <c r="N233" s="28"/>
      <c r="O233" s="72"/>
      <c r="P233" s="72"/>
      <c r="Q233" s="27"/>
      <c r="R233" s="157"/>
      <c r="S233" s="73"/>
      <c r="T233" s="25"/>
      <c r="U233" s="235"/>
      <c r="V233" s="25"/>
      <c r="W233" s="25"/>
      <c r="X233" s="25"/>
      <c r="Y233" s="29"/>
      <c r="Z233" s="160"/>
      <c r="AA233" s="279"/>
      <c r="AB233" s="76"/>
      <c r="AC233" s="281"/>
      <c r="AD233" s="161"/>
      <c r="AE233" s="163"/>
      <c r="AF233" s="76"/>
      <c r="AG233" s="161"/>
      <c r="AH233" s="173"/>
      <c r="AI233" s="167"/>
      <c r="AJ233" s="174"/>
      <c r="AK233" s="167"/>
      <c r="AL233" s="167"/>
      <c r="AM233" s="167"/>
      <c r="AN233" s="167"/>
      <c r="AO233" s="167"/>
      <c r="AP233" s="167"/>
      <c r="AQ233" s="157"/>
      <c r="AR233" s="284"/>
      <c r="AS233" s="284"/>
      <c r="AT233" s="284"/>
      <c r="AU233" s="284"/>
      <c r="AV233" s="184"/>
      <c r="AW233" s="186"/>
    </row>
    <row r="234" spans="2:49" ht="15.75" x14ac:dyDescent="0.25">
      <c r="B234" s="84"/>
      <c r="C234" s="192"/>
      <c r="D234" s="25"/>
      <c r="E234" s="236"/>
      <c r="F234" s="113"/>
      <c r="G234" s="113"/>
      <c r="H234" s="28"/>
      <c r="I234" s="27"/>
      <c r="J234" s="118"/>
      <c r="K234" s="113"/>
      <c r="L234" s="28"/>
      <c r="M234" s="27"/>
      <c r="N234" s="28"/>
      <c r="O234" s="72"/>
      <c r="P234" s="72"/>
      <c r="Q234" s="27"/>
      <c r="R234" s="157"/>
      <c r="S234" s="73"/>
      <c r="T234" s="25"/>
      <c r="U234" s="235"/>
      <c r="V234" s="25"/>
      <c r="W234" s="25"/>
      <c r="X234" s="25"/>
      <c r="Y234" s="29"/>
      <c r="Z234" s="160"/>
      <c r="AA234" s="279"/>
      <c r="AB234" s="76"/>
      <c r="AC234" s="281"/>
      <c r="AD234" s="161"/>
      <c r="AE234" s="163"/>
      <c r="AF234" s="76"/>
      <c r="AG234" s="161"/>
      <c r="AH234" s="173"/>
      <c r="AI234" s="167"/>
      <c r="AJ234" s="174"/>
      <c r="AK234" s="167"/>
      <c r="AL234" s="167"/>
      <c r="AM234" s="167"/>
      <c r="AN234" s="167"/>
      <c r="AO234" s="167"/>
      <c r="AP234" s="167"/>
      <c r="AQ234" s="157"/>
      <c r="AR234" s="284"/>
      <c r="AS234" s="284"/>
      <c r="AT234" s="284"/>
      <c r="AU234" s="284"/>
      <c r="AV234" s="184"/>
      <c r="AW234" s="186"/>
    </row>
    <row r="235" spans="2:49" ht="15.75" x14ac:dyDescent="0.25">
      <c r="B235" s="84"/>
      <c r="C235" s="192"/>
      <c r="D235" s="25"/>
      <c r="E235" s="236"/>
      <c r="F235" s="113"/>
      <c r="G235" s="113"/>
      <c r="H235" s="28"/>
      <c r="I235" s="27"/>
      <c r="J235" s="118"/>
      <c r="K235" s="113"/>
      <c r="L235" s="28"/>
      <c r="M235" s="27"/>
      <c r="N235" s="28"/>
      <c r="O235" s="72"/>
      <c r="P235" s="72"/>
      <c r="Q235" s="27"/>
      <c r="R235" s="157"/>
      <c r="S235" s="73"/>
      <c r="T235" s="25"/>
      <c r="U235" s="235"/>
      <c r="V235" s="25"/>
      <c r="W235" s="25"/>
      <c r="X235" s="25"/>
      <c r="Y235" s="29"/>
      <c r="Z235" s="160"/>
      <c r="AA235" s="279"/>
      <c r="AB235" s="76"/>
      <c r="AC235" s="281"/>
      <c r="AD235" s="161"/>
      <c r="AE235" s="163"/>
      <c r="AF235" s="76"/>
      <c r="AG235" s="161"/>
      <c r="AH235" s="173"/>
      <c r="AI235" s="167"/>
      <c r="AJ235" s="174"/>
      <c r="AK235" s="167"/>
      <c r="AL235" s="167"/>
      <c r="AM235" s="167"/>
      <c r="AN235" s="167"/>
      <c r="AO235" s="167"/>
      <c r="AP235" s="167"/>
      <c r="AQ235" s="157"/>
      <c r="AR235" s="284"/>
      <c r="AS235" s="284"/>
      <c r="AT235" s="284"/>
      <c r="AU235" s="284"/>
      <c r="AV235" s="184"/>
      <c r="AW235" s="186"/>
    </row>
    <row r="241" spans="14:15" x14ac:dyDescent="0.25">
      <c r="N241" t="s">
        <v>181</v>
      </c>
      <c r="O241" t="s">
        <v>182</v>
      </c>
    </row>
  </sheetData>
  <phoneticPr fontId="19" type="noConversion"/>
  <pageMargins left="0.70866141732283472" right="0.31496062992125984" top="0.70866141732283472" bottom="0.11811023622047245" header="0.31496062992125984" footer="0.31496062992125984"/>
  <pageSetup paperSize="9" scale="1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72F83-0A6F-4E1C-8141-F44702D5DCCC}">
  <sheetPr>
    <pageSetUpPr fitToPage="1"/>
  </sheetPr>
  <dimension ref="A1:BM103"/>
  <sheetViews>
    <sheetView topLeftCell="A58" zoomScaleNormal="100" workbookViewId="0">
      <selection activeCell="BD19" sqref="BD19:BM98"/>
    </sheetView>
  </sheetViews>
  <sheetFormatPr defaultRowHeight="15" x14ac:dyDescent="0.25"/>
  <cols>
    <col min="2" max="2" width="20.85546875" customWidth="1"/>
    <col min="3" max="3" width="6.5703125" bestFit="1" customWidth="1"/>
    <col min="4" max="4" width="17" customWidth="1"/>
    <col min="5" max="5" width="2" customWidth="1"/>
    <col min="6" max="7" width="6.7109375" customWidth="1"/>
    <col min="8" max="8" width="3" customWidth="1"/>
    <col min="9" max="12" width="4.28515625" customWidth="1"/>
    <col min="13" max="13" width="8.85546875" bestFit="1" customWidth="1"/>
    <col min="14" max="17" width="4.28515625" customWidth="1"/>
    <col min="18" max="18" width="6.7109375" customWidth="1"/>
    <col min="19" max="19" width="4.28515625" customWidth="1"/>
    <col min="20" max="20" width="6.7109375" customWidth="1"/>
    <col min="21" max="21" width="9.140625" customWidth="1"/>
    <col min="22" max="22" width="9.42578125" customWidth="1"/>
    <col min="23" max="23" width="4.85546875" customWidth="1"/>
    <col min="24" max="24" width="10.28515625" customWidth="1"/>
    <col min="25" max="25" width="6.7109375" customWidth="1"/>
    <col min="26" max="26" width="4.7109375" customWidth="1"/>
    <col min="27" max="28" width="6.7109375" customWidth="1"/>
    <col min="29" max="29" width="16.42578125" bestFit="1" customWidth="1"/>
    <col min="30" max="32" width="3.42578125" customWidth="1"/>
    <col min="33" max="33" width="4.28515625" customWidth="1"/>
    <col min="34" max="34" width="3.85546875" customWidth="1"/>
    <col min="35" max="35" width="4.28515625" customWidth="1"/>
    <col min="36" max="36" width="5.140625" customWidth="1"/>
    <col min="37" max="37" width="7" customWidth="1"/>
    <col min="38" max="38" width="8.28515625" customWidth="1"/>
    <col min="39" max="39" width="9.42578125" customWidth="1"/>
    <col min="40" max="40" width="7.85546875" bestFit="1" customWidth="1"/>
    <col min="41" max="41" width="10.42578125" customWidth="1"/>
    <col min="42" max="42" width="6.5703125" customWidth="1"/>
    <col min="43" max="43" width="5.7109375" customWidth="1"/>
    <col min="44" max="44" width="6" customWidth="1"/>
    <col min="45" max="45" width="7.5703125" customWidth="1"/>
    <col min="46" max="46" width="6" customWidth="1"/>
    <col min="47" max="47" width="7.7109375" customWidth="1"/>
    <col min="48" max="48" width="5.5703125" bestFit="1" customWidth="1"/>
    <col min="49" max="49" width="7.28515625" bestFit="1" customWidth="1"/>
    <col min="50" max="50" width="6.5703125" bestFit="1" customWidth="1"/>
    <col min="51" max="51" width="4.28515625" bestFit="1" customWidth="1"/>
    <col min="52" max="52" width="6.5703125" bestFit="1" customWidth="1"/>
    <col min="53" max="53" width="9" customWidth="1"/>
    <col min="56" max="56" width="16.28515625" customWidth="1"/>
  </cols>
  <sheetData>
    <row r="1" spans="6:53" ht="8.25" customHeight="1" x14ac:dyDescent="0.25"/>
    <row r="2" spans="6:53" ht="24.75" customHeight="1" x14ac:dyDescent="0.25"/>
    <row r="3" spans="6:53" ht="41.25" customHeight="1" x14ac:dyDescent="0.3">
      <c r="K3" s="393" t="s">
        <v>390</v>
      </c>
      <c r="L3" s="393"/>
      <c r="M3" s="393"/>
      <c r="N3" s="393"/>
      <c r="O3" s="393"/>
      <c r="P3" s="393"/>
      <c r="Q3" s="393"/>
      <c r="R3" s="393"/>
      <c r="S3" s="393"/>
      <c r="T3" s="393"/>
      <c r="U3">
        <f>AS20</f>
        <v>285.97300000000007</v>
      </c>
      <c r="V3" s="34">
        <f>AZ20</f>
        <v>40.975999999999999</v>
      </c>
      <c r="X3" s="423">
        <f>U3+V3</f>
        <v>326.94900000000007</v>
      </c>
      <c r="Y3" t="s">
        <v>11</v>
      </c>
      <c r="AJ3" s="3"/>
    </row>
    <row r="4" spans="6:53" ht="33.75" customHeight="1" x14ac:dyDescent="0.3">
      <c r="I4" t="s">
        <v>392</v>
      </c>
      <c r="K4" s="451" t="s">
        <v>324</v>
      </c>
      <c r="L4" s="452"/>
      <c r="M4" s="452"/>
      <c r="N4" s="452"/>
      <c r="O4" s="452"/>
      <c r="P4" s="452"/>
      <c r="Q4" s="452"/>
      <c r="R4" s="452"/>
      <c r="S4" s="452"/>
      <c r="T4" s="452"/>
      <c r="U4" s="34">
        <f>AM20</f>
        <v>826.95231933600053</v>
      </c>
      <c r="X4" s="423">
        <f t="shared" ref="X4:X8" si="0">U4+V4</f>
        <v>826.95231933600053</v>
      </c>
      <c r="Y4" t="s">
        <v>64</v>
      </c>
      <c r="AF4" s="351" t="s">
        <v>325</v>
      </c>
      <c r="AJ4" s="3"/>
    </row>
    <row r="5" spans="6:53" ht="33.75" customHeight="1" x14ac:dyDescent="0.3">
      <c r="I5" t="s">
        <v>393</v>
      </c>
      <c r="K5" s="451" t="s">
        <v>326</v>
      </c>
      <c r="L5" s="453"/>
      <c r="M5" s="453"/>
      <c r="N5" s="453"/>
      <c r="O5" s="453"/>
      <c r="P5" s="453"/>
      <c r="Q5" s="453"/>
      <c r="R5" s="453"/>
      <c r="S5" s="453"/>
      <c r="T5" s="453"/>
      <c r="U5" s="34">
        <f>AR20</f>
        <v>24.324940000000009</v>
      </c>
      <c r="X5" s="423">
        <f t="shared" si="0"/>
        <v>24.324940000000009</v>
      </c>
      <c r="Y5" t="s">
        <v>64</v>
      </c>
      <c r="AF5" s="351" t="s">
        <v>327</v>
      </c>
      <c r="AJ5" s="3"/>
    </row>
    <row r="6" spans="6:53" ht="33.75" customHeight="1" thickBot="1" x14ac:dyDescent="0.35">
      <c r="I6" t="s">
        <v>392</v>
      </c>
      <c r="K6" s="447" t="s">
        <v>313</v>
      </c>
      <c r="L6" s="448"/>
      <c r="M6" s="448"/>
      <c r="N6" s="448"/>
      <c r="O6" s="448"/>
      <c r="P6" s="448"/>
      <c r="Q6" s="448"/>
      <c r="R6" s="448"/>
      <c r="S6" s="448"/>
      <c r="T6" s="448"/>
      <c r="U6" s="34">
        <f>AW20</f>
        <v>220.35529940000004</v>
      </c>
      <c r="X6" s="423">
        <f t="shared" si="0"/>
        <v>220.35529940000004</v>
      </c>
      <c r="Y6" t="s">
        <v>64</v>
      </c>
      <c r="AJ6" s="3"/>
    </row>
    <row r="7" spans="6:53" ht="24.75" customHeight="1" thickBot="1" x14ac:dyDescent="0.35">
      <c r="K7" s="447" t="s">
        <v>375</v>
      </c>
      <c r="L7" s="448"/>
      <c r="M7" s="448"/>
      <c r="N7" s="448"/>
      <c r="O7" s="448"/>
      <c r="P7" s="448"/>
      <c r="Q7" s="448"/>
      <c r="R7" s="448"/>
      <c r="S7" s="448"/>
      <c r="T7" s="448"/>
      <c r="U7" s="34">
        <f>AO20</f>
        <v>2530.4067599999998</v>
      </c>
      <c r="X7" s="423">
        <f t="shared" si="0"/>
        <v>2530.4067599999998</v>
      </c>
      <c r="Y7" t="s">
        <v>11</v>
      </c>
      <c r="AL7" s="3"/>
    </row>
    <row r="8" spans="6:53" ht="24.75" customHeight="1" thickBot="1" x14ac:dyDescent="0.35">
      <c r="K8" s="447" t="s">
        <v>376</v>
      </c>
      <c r="L8" s="448"/>
      <c r="M8" s="448"/>
      <c r="N8" s="448"/>
      <c r="O8" s="448"/>
      <c r="P8" s="448"/>
      <c r="Q8" s="448"/>
      <c r="R8" s="448"/>
      <c r="S8" s="448"/>
      <c r="T8" s="448"/>
      <c r="U8">
        <f>U7*2</f>
        <v>5060.8135199999997</v>
      </c>
      <c r="X8" s="423">
        <f t="shared" si="0"/>
        <v>5060.8135199999997</v>
      </c>
      <c r="Y8" t="s">
        <v>11</v>
      </c>
      <c r="AK8" s="18"/>
      <c r="AL8" t="s">
        <v>328</v>
      </c>
    </row>
    <row r="9" spans="6:53" ht="19.5" thickBot="1" x14ac:dyDescent="0.35">
      <c r="K9" s="449" t="s">
        <v>101</v>
      </c>
      <c r="L9" s="450"/>
      <c r="M9" s="450"/>
      <c r="N9" s="450"/>
      <c r="O9" s="450"/>
      <c r="P9" s="450"/>
      <c r="Q9" s="450"/>
      <c r="R9" s="450"/>
      <c r="S9" s="450"/>
      <c r="T9" s="450"/>
      <c r="U9" s="438">
        <f>BK20</f>
        <v>1028.8564199999998</v>
      </c>
      <c r="V9" s="438">
        <f>BM20</f>
        <v>3153.4133250000004</v>
      </c>
      <c r="W9" s="399"/>
      <c r="X9" s="437">
        <f>U9+V9</f>
        <v>4182.2697450000005</v>
      </c>
      <c r="Y9" s="399" t="s">
        <v>11</v>
      </c>
    </row>
    <row r="10" spans="6:53" x14ac:dyDescent="0.25">
      <c r="AL10">
        <f>0.055*0.055*PI()</f>
        <v>9.5033177771091243E-3</v>
      </c>
    </row>
    <row r="11" spans="6:53" x14ac:dyDescent="0.25">
      <c r="AL11">
        <f>0.08*0.08*PI()</f>
        <v>2.0106192982974676E-2</v>
      </c>
    </row>
    <row r="12" spans="6:53" x14ac:dyDescent="0.25">
      <c r="AL12">
        <f>0.1*0.1*PI()</f>
        <v>3.1415926535897934E-2</v>
      </c>
    </row>
    <row r="13" spans="6:53" ht="15.75" thickBot="1" x14ac:dyDescent="0.3"/>
    <row r="14" spans="6:53" ht="156.75" customHeight="1" thickBot="1" x14ac:dyDescent="0.3">
      <c r="F14" s="352" t="s">
        <v>329</v>
      </c>
      <c r="G14" s="353" t="s">
        <v>329</v>
      </c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4" t="s">
        <v>330</v>
      </c>
      <c r="AA14" s="355" t="s">
        <v>331</v>
      </c>
      <c r="AB14" s="356" t="s">
        <v>331</v>
      </c>
      <c r="AC14" s="356"/>
      <c r="AD14" s="357"/>
      <c r="AE14" s="358"/>
      <c r="AF14" s="359"/>
      <c r="AG14" s="360"/>
      <c r="AH14" s="361"/>
      <c r="AI14" s="362"/>
      <c r="AJ14" s="359"/>
      <c r="AK14" s="363"/>
      <c r="AL14" s="364" t="s">
        <v>332</v>
      </c>
      <c r="AM14" s="365" t="s">
        <v>332</v>
      </c>
      <c r="AN14" s="354" t="s">
        <v>330</v>
      </c>
      <c r="AO14" s="355" t="s">
        <v>332</v>
      </c>
      <c r="AP14" s="354" t="s">
        <v>330</v>
      </c>
      <c r="AQ14" s="366"/>
      <c r="AR14" s="355" t="s">
        <v>332</v>
      </c>
      <c r="AS14" s="355"/>
      <c r="AT14" s="367" t="s">
        <v>330</v>
      </c>
      <c r="AU14" s="367"/>
      <c r="AV14" s="367"/>
      <c r="AW14" s="367" t="s">
        <v>332</v>
      </c>
      <c r="AX14" s="368"/>
      <c r="AY14" s="368"/>
      <c r="AZ14" s="368"/>
      <c r="BA14" s="368"/>
    </row>
    <row r="17" spans="2:65" ht="54" customHeight="1" x14ac:dyDescent="0.25">
      <c r="AA17" s="18"/>
    </row>
    <row r="18" spans="2:65" ht="26.25" customHeight="1" thickBot="1" x14ac:dyDescent="0.35">
      <c r="B18" s="370" t="str">
        <f>'[1]Mezišachetní úsek'!B21</f>
        <v>Mezišachetní 
úseky</v>
      </c>
      <c r="C18" s="370"/>
      <c r="D18" s="370"/>
      <c r="E18" s="370"/>
    </row>
    <row r="19" spans="2:65" ht="235.5" customHeight="1" thickBot="1" x14ac:dyDescent="0.3">
      <c r="B19">
        <f>'[1]Mezišachetní úsek'!B22</f>
        <v>0</v>
      </c>
      <c r="C19" t="str">
        <f>'[1]Mezišachetní úsek'!C22</f>
        <v>Délka</v>
      </c>
      <c r="F19" s="371" t="s">
        <v>7</v>
      </c>
      <c r="G19" s="372" t="s">
        <v>9</v>
      </c>
      <c r="H19" s="372"/>
      <c r="I19" s="354" t="s">
        <v>364</v>
      </c>
      <c r="J19" s="354" t="s">
        <v>365</v>
      </c>
      <c r="K19" s="354" t="s">
        <v>366</v>
      </c>
      <c r="L19" s="354" t="s">
        <v>361</v>
      </c>
      <c r="M19" s="354" t="s">
        <v>360</v>
      </c>
      <c r="N19" s="355" t="s">
        <v>364</v>
      </c>
      <c r="O19" s="355" t="s">
        <v>365</v>
      </c>
      <c r="P19" s="354" t="s">
        <v>366</v>
      </c>
      <c r="Q19" s="355" t="s">
        <v>359</v>
      </c>
      <c r="R19" s="355" t="s">
        <v>374</v>
      </c>
      <c r="S19" s="373" t="s">
        <v>358</v>
      </c>
      <c r="T19" s="373" t="str">
        <f>'Mezišachetní úsek'!M22</f>
        <v>Trubky 
délka</v>
      </c>
      <c r="U19" s="421" t="str">
        <f>'Mezišachetní úsek'!N22</f>
        <v>Multikanál 
vodorovně 
řady</v>
      </c>
      <c r="V19" s="357" t="str">
        <f>'Mezišachetní úsek'!O22</f>
        <v>Multikanál 
svisle 
sloupce</v>
      </c>
      <c r="W19" s="357" t="str">
        <f>'Mezišachetní úsek'!P22</f>
        <v>Multikanál
celkem</v>
      </c>
      <c r="X19" s="422" t="str">
        <f>'Mezišachetní úsek'!Q22</f>
        <v>Multikanál
 délka</v>
      </c>
      <c r="Y19" s="420"/>
      <c r="Z19" s="354" t="s">
        <v>333</v>
      </c>
      <c r="AA19" s="355" t="s">
        <v>334</v>
      </c>
      <c r="AB19" s="373" t="s">
        <v>335</v>
      </c>
      <c r="AC19" s="417"/>
      <c r="AD19" s="374" t="s">
        <v>377</v>
      </c>
      <c r="AE19" s="375"/>
      <c r="AF19" s="376"/>
      <c r="AG19" s="369" t="s">
        <v>368</v>
      </c>
      <c r="AH19" s="361" t="s">
        <v>369</v>
      </c>
      <c r="AI19" s="377" t="s">
        <v>370</v>
      </c>
      <c r="AJ19" s="376"/>
      <c r="AK19" s="365" t="s">
        <v>367</v>
      </c>
      <c r="AL19" s="365" t="s">
        <v>336</v>
      </c>
      <c r="AM19" s="365" t="s">
        <v>337</v>
      </c>
      <c r="AN19" s="354" t="s">
        <v>339</v>
      </c>
      <c r="AO19" s="355" t="s">
        <v>371</v>
      </c>
      <c r="AP19" s="354" t="s">
        <v>340</v>
      </c>
      <c r="AQ19" s="366"/>
      <c r="AR19" s="355" t="s">
        <v>341</v>
      </c>
      <c r="AS19" s="378" t="s">
        <v>372</v>
      </c>
      <c r="AT19" s="367" t="s">
        <v>57</v>
      </c>
      <c r="AU19" s="367" t="s">
        <v>373</v>
      </c>
      <c r="AV19" s="366" t="s">
        <v>338</v>
      </c>
      <c r="AW19" s="367" t="s">
        <v>342</v>
      </c>
      <c r="AX19" s="366" t="s">
        <v>343</v>
      </c>
      <c r="AY19" s="378" t="s">
        <v>323</v>
      </c>
      <c r="AZ19" s="378"/>
      <c r="BA19" s="368"/>
      <c r="BE19" s="338" t="s">
        <v>378</v>
      </c>
      <c r="BF19" s="338"/>
      <c r="BG19" s="338"/>
      <c r="BH19" s="338" t="s">
        <v>379</v>
      </c>
      <c r="BI19" s="338"/>
      <c r="BJ19" s="338" t="s">
        <v>388</v>
      </c>
      <c r="BK19" s="338" t="s">
        <v>101</v>
      </c>
      <c r="BL19" s="338" t="s">
        <v>389</v>
      </c>
      <c r="BM19" s="338" t="s">
        <v>389</v>
      </c>
    </row>
    <row r="20" spans="2:65" ht="15.75" x14ac:dyDescent="0.25">
      <c r="F20" s="379"/>
      <c r="G20" s="380"/>
      <c r="H20" s="380"/>
      <c r="I20" s="380"/>
      <c r="J20" s="380"/>
      <c r="K20" s="380">
        <f>SUM(K22:K98)</f>
        <v>0</v>
      </c>
      <c r="L20" s="121"/>
      <c r="M20" s="93">
        <f>CEILING((SUM(M21:M190)*1.1),1)</f>
        <v>1302</v>
      </c>
      <c r="N20" s="166"/>
      <c r="O20" s="166"/>
      <c r="P20" s="380">
        <f>SUM(P22:P98)</f>
        <v>0</v>
      </c>
      <c r="Q20" s="117"/>
      <c r="R20" s="95">
        <f>CEILING((SUM(R21:R190)*1.1),1)</f>
        <v>20</v>
      </c>
      <c r="S20" s="121"/>
      <c r="W20" s="419"/>
      <c r="X20" s="419">
        <f>CEILING((SUM(X21:X190)*1.1),1)</f>
        <v>4476</v>
      </c>
      <c r="Y20" s="380"/>
      <c r="Z20" s="381"/>
      <c r="AA20" s="382"/>
      <c r="AB20" s="382"/>
      <c r="AC20" s="382"/>
      <c r="AD20" s="383"/>
      <c r="AE20" s="384"/>
      <c r="AF20" s="385"/>
      <c r="AG20" s="386"/>
      <c r="AH20" s="387"/>
      <c r="AI20" s="386"/>
      <c r="AJ20" s="385"/>
      <c r="AK20" s="388"/>
      <c r="AL20" s="382"/>
      <c r="AM20" s="350">
        <f>SUM(AM22:AM98)</f>
        <v>826.95231933600053</v>
      </c>
      <c r="AN20" s="381"/>
      <c r="AO20" s="350">
        <f>SUM(AO22:AO98)</f>
        <v>2530.4067599999998</v>
      </c>
      <c r="AP20" s="381"/>
      <c r="AQ20" s="349"/>
      <c r="AR20" s="350">
        <f>SUM(AR22:AR98)</f>
        <v>24.324940000000009</v>
      </c>
      <c r="AS20" s="418">
        <f>SUM(AS22:AS98)</f>
        <v>285.97300000000007</v>
      </c>
      <c r="AT20" s="389"/>
      <c r="AU20" s="389">
        <v>0.8</v>
      </c>
      <c r="AV20" s="349"/>
      <c r="AW20" s="390">
        <f>SUM(AW22:AW98)</f>
        <v>220.35529940000004</v>
      </c>
      <c r="AX20" s="391"/>
      <c r="AY20" s="392"/>
      <c r="AZ20" s="394">
        <f>SUM(AZ22:AZ98)</f>
        <v>40.975999999999999</v>
      </c>
      <c r="BF20" s="390">
        <f>SUM(BF22:BF98)</f>
        <v>2530.4067599999998</v>
      </c>
      <c r="BI20" s="390">
        <f>SUM(BI22:BI98)</f>
        <v>5060.8135199999997</v>
      </c>
      <c r="BK20" s="390">
        <f>SUM(BK22:BK98)</f>
        <v>1028.8564199999998</v>
      </c>
      <c r="BM20" s="390">
        <f>SUM(BM22:BM98)</f>
        <v>3153.4133250000004</v>
      </c>
    </row>
    <row r="21" spans="2:65" x14ac:dyDescent="0.25">
      <c r="B21">
        <f>'[1]Mezišachetní úsek'!B23</f>
        <v>0</v>
      </c>
      <c r="F21" s="379"/>
      <c r="G21" s="380"/>
      <c r="H21" s="380"/>
      <c r="I21" s="380"/>
      <c r="J21" s="380"/>
      <c r="K21" s="380"/>
      <c r="L21" s="410"/>
      <c r="M21" s="411">
        <f>IF(D21&gt;0,CEILING(D21+0.58,1)*L21,0)</f>
        <v>0</v>
      </c>
      <c r="N21" s="412"/>
      <c r="O21" s="412"/>
      <c r="P21" s="380"/>
      <c r="Q21" s="413"/>
      <c r="R21" s="414">
        <f>IF(D21&gt;0,CEILING(D21+0.58,1)*Q21,0)</f>
        <v>0</v>
      </c>
      <c r="S21" s="410"/>
      <c r="T21">
        <f>'Mezišachetní úsek'!M23</f>
        <v>14</v>
      </c>
      <c r="U21">
        <f>'Mezišachetní úsek'!N23</f>
        <v>0</v>
      </c>
      <c r="V21">
        <f>'Mezišachetní úsek'!O23</f>
        <v>0</v>
      </c>
      <c r="W21">
        <f>'Mezišachetní úsek'!P23</f>
        <v>0</v>
      </c>
      <c r="Y21" s="380"/>
      <c r="AD21" s="395"/>
      <c r="AE21" s="396"/>
      <c r="AF21" s="397"/>
      <c r="AG21" s="398"/>
      <c r="AH21" s="399"/>
      <c r="AI21" s="398"/>
      <c r="AJ21" s="397"/>
      <c r="AK21" s="400"/>
      <c r="AQ21" s="34"/>
      <c r="AV21" s="34"/>
    </row>
    <row r="22" spans="2:65" ht="15.75" x14ac:dyDescent="0.25">
      <c r="B22" s="84" t="s">
        <v>239</v>
      </c>
      <c r="C22" s="192">
        <v>10.5</v>
      </c>
      <c r="D22" s="238" t="s">
        <v>190</v>
      </c>
      <c r="F22" s="415">
        <f>I22*0.175+N22*0.23+U22*0.5</f>
        <v>0.5</v>
      </c>
      <c r="G22" s="416">
        <f>J22*0.175+O22*0.23+V22*0.5</f>
        <v>1</v>
      </c>
      <c r="H22" s="416"/>
      <c r="I22" s="416"/>
      <c r="J22" s="416"/>
      <c r="K22" s="416"/>
      <c r="L22" s="72">
        <f>'Mezišachetní úsek'!H24</f>
        <v>0</v>
      </c>
      <c r="M22" s="72">
        <f>'Mezišachetní úsek'!I24</f>
        <v>0</v>
      </c>
      <c r="N22" s="72"/>
      <c r="O22" s="72"/>
      <c r="P22" s="416"/>
      <c r="Q22" s="72">
        <f>'Mezišachetní úsek'!J24</f>
        <v>0</v>
      </c>
      <c r="R22" s="72">
        <f>'Mezišachetní úsek'!K24</f>
        <v>0</v>
      </c>
      <c r="S22" s="72">
        <f>'Mezišachetní úsek'!L24</f>
        <v>0</v>
      </c>
      <c r="T22" s="72">
        <f>'Mezišachetní úsek'!M24</f>
        <v>0</v>
      </c>
      <c r="U22" s="72">
        <f>'Mezišachetní úsek'!N24</f>
        <v>1</v>
      </c>
      <c r="V22" s="72">
        <f>'Mezišachetní úsek'!O24</f>
        <v>2</v>
      </c>
      <c r="W22" s="72">
        <f>'Mezišachetní úsek'!P24</f>
        <v>2</v>
      </c>
      <c r="X22" s="72">
        <f>'Mezišachetní úsek'!Q24</f>
        <v>24</v>
      </c>
      <c r="Y22" s="380"/>
      <c r="Z22" t="s">
        <v>184</v>
      </c>
      <c r="AA22">
        <f>IF(Z22="ano",F22+0.2,0)</f>
        <v>0.7</v>
      </c>
      <c r="AB22">
        <f>IF(Z22="ano",G22+0.1,0)</f>
        <v>1.1000000000000001</v>
      </c>
      <c r="AC22" t="str">
        <f>B22</f>
        <v>Stáv. Š6-NOVÁ Š6</v>
      </c>
      <c r="AD22" s="395" t="s">
        <v>184</v>
      </c>
      <c r="AE22" s="396"/>
      <c r="AF22" s="397"/>
      <c r="AG22" s="398">
        <f>L22*0.055*0.055*3.14</f>
        <v>0</v>
      </c>
      <c r="AH22" s="399">
        <f>Q22*0.08*0.08*3.14</f>
        <v>0</v>
      </c>
      <c r="AI22" s="398">
        <f>W22*0.35*0.35</f>
        <v>0.24499999999999997</v>
      </c>
      <c r="AJ22" s="397"/>
      <c r="AK22" s="400">
        <f>AA22*AB22</f>
        <v>0.77</v>
      </c>
      <c r="AL22" s="34">
        <f>(AG22+AH22+AI22)</f>
        <v>0.24499999999999997</v>
      </c>
      <c r="AM22" s="34">
        <f>(AK22-AL22)*C22</f>
        <v>5.5125000000000002</v>
      </c>
      <c r="AN22" s="235" t="s">
        <v>184</v>
      </c>
      <c r="AO22" s="34">
        <f>IF(AN22="ano",(2*AA22+0.3+2*AB22)*C22*1.2,0)</f>
        <v>49.14</v>
      </c>
      <c r="AP22" s="34" t="s">
        <v>184</v>
      </c>
      <c r="AQ22" s="34" t="str">
        <f>D22</f>
        <v>Pod kolejemi</v>
      </c>
      <c r="AR22" s="34">
        <f>IF(AP22="ano",((AA22+0.2)*(AB22+0.1)-AA22*AB22)*C22,0)</f>
        <v>3.2550000000000008</v>
      </c>
      <c r="AS22" s="34">
        <f>IF(AR22&gt;0.001,(AA22+2*AB22)*C22*1.25,0)</f>
        <v>38.0625</v>
      </c>
      <c r="AT22" t="s">
        <v>184</v>
      </c>
      <c r="AU22" s="13">
        <f>IF(AT22="ano",AK22+$AU$20,0)</f>
        <v>1.57</v>
      </c>
      <c r="AV22" s="34">
        <f>'[1]Mezišachetní úsek'!Y24</f>
        <v>1.26</v>
      </c>
      <c r="AW22" s="34">
        <f>IF(AT22="ano",AU22*C22*0.1,"není")</f>
        <v>1.6485000000000001</v>
      </c>
      <c r="AX22" s="34">
        <f>'[1]Mezišachetní úsek'!AA24</f>
        <v>13.860000000000001</v>
      </c>
      <c r="AY22" s="34" t="s">
        <v>184</v>
      </c>
      <c r="AZ22" s="34">
        <f>IF(AY22="ano",AU22-0.1,0)</f>
        <v>1.47</v>
      </c>
      <c r="BA22" s="154" t="str">
        <f>B22</f>
        <v>Stáv. Š6-NOVÁ Š6</v>
      </c>
      <c r="BD22" s="154" t="str">
        <f>BA22</f>
        <v>Stáv. Š6-NOVÁ Š6</v>
      </c>
      <c r="BE22" s="13" t="str">
        <f>AN22</f>
        <v>ano</v>
      </c>
      <c r="BF22" s="13">
        <f>IF(BE22="ano",(2*AA22+0.3+2*AB22)*C22*1.2,0)</f>
        <v>49.14</v>
      </c>
      <c r="BG22" s="13"/>
      <c r="BH22" s="13" t="str">
        <f>BE22</f>
        <v>ano</v>
      </c>
      <c r="BI22" s="13">
        <f>IF(BH22="ano",BF22*2,0)</f>
        <v>98.28</v>
      </c>
      <c r="BJ22" t="s">
        <v>184</v>
      </c>
      <c r="BK22" s="13">
        <f>IF(BJ22="ano",AU22*C22,0)</f>
        <v>16.484999999999999</v>
      </c>
      <c r="BL22" t="s">
        <v>184</v>
      </c>
      <c r="BM22">
        <f>IF(BL22="ano",(AA22+AB22*2)*C22,0)</f>
        <v>30.450000000000003</v>
      </c>
    </row>
    <row r="23" spans="2:65" ht="15.75" x14ac:dyDescent="0.25">
      <c r="B23" s="84" t="s">
        <v>221</v>
      </c>
      <c r="C23" s="192">
        <v>16.5</v>
      </c>
      <c r="D23" s="236" t="s">
        <v>127</v>
      </c>
      <c r="F23" s="415">
        <f t="shared" ref="F23:F86" si="1">I23*0.175+N23*0.23+U23*0.5</f>
        <v>0.35</v>
      </c>
      <c r="G23" s="416">
        <f t="shared" ref="G23:G86" si="2">J23*0.175+O23*0.23+V23*0.5</f>
        <v>0.52499999999999991</v>
      </c>
      <c r="H23" s="416"/>
      <c r="I23" s="416">
        <v>2</v>
      </c>
      <c r="J23" s="416">
        <v>3</v>
      </c>
      <c r="K23" s="416">
        <f>I23*J23-L23</f>
        <v>0</v>
      </c>
      <c r="L23" s="72">
        <f>'Mezišachetní úsek'!H25</f>
        <v>6</v>
      </c>
      <c r="M23" s="72">
        <f>'Mezišachetní úsek'!I25</f>
        <v>108</v>
      </c>
      <c r="N23" s="72"/>
      <c r="O23" s="72"/>
      <c r="P23" s="416">
        <f>N23*O23-Q23</f>
        <v>0</v>
      </c>
      <c r="Q23" s="72">
        <f>'Mezišachetní úsek'!J25</f>
        <v>0</v>
      </c>
      <c r="R23" s="72">
        <f>'Mezišachetní úsek'!K25</f>
        <v>0</v>
      </c>
      <c r="S23" s="72">
        <f>'Mezišachetní úsek'!L25</f>
        <v>0</v>
      </c>
      <c r="T23" s="72">
        <f>'Mezišachetní úsek'!M25</f>
        <v>0</v>
      </c>
      <c r="U23" s="72">
        <f>'Mezišachetní úsek'!N25</f>
        <v>0</v>
      </c>
      <c r="V23" s="72">
        <f>'Mezišachetní úsek'!O25</f>
        <v>0</v>
      </c>
      <c r="W23" s="72">
        <f>'Mezišachetní úsek'!P25</f>
        <v>0</v>
      </c>
      <c r="X23" s="72">
        <f>'Mezišachetní úsek'!Q25</f>
        <v>0</v>
      </c>
      <c r="Y23" s="380"/>
      <c r="Z23" t="s">
        <v>184</v>
      </c>
      <c r="AA23">
        <f t="shared" ref="AA23:AA87" si="3">IF(Z23="ano",F23+0.2,0)</f>
        <v>0.55000000000000004</v>
      </c>
      <c r="AB23">
        <f t="shared" ref="AB23:AB87" si="4">IF(Z23="ano",G23+0.1,0)</f>
        <v>0.62499999999999989</v>
      </c>
      <c r="AC23" t="str">
        <f t="shared" ref="AC23:AC86" si="5">B23</f>
        <v>Š06-Š06a</v>
      </c>
      <c r="AD23" s="395"/>
      <c r="AE23" s="396"/>
      <c r="AF23" s="397"/>
      <c r="AG23" s="398">
        <f>L23*0.055*0.055*3.14</f>
        <v>5.6991E-2</v>
      </c>
      <c r="AH23" s="399">
        <f>Q23*0.08*0.08*3.14</f>
        <v>0</v>
      </c>
      <c r="AI23" s="398">
        <f>W23*0.35*0.35</f>
        <v>0</v>
      </c>
      <c r="AJ23" s="397"/>
      <c r="AK23" s="400">
        <f>AA23*AB23</f>
        <v>0.34374999999999994</v>
      </c>
      <c r="AL23" s="34">
        <f t="shared" ref="AL23:AL86" si="6">AG23+AH23+AI23</f>
        <v>5.6991E-2</v>
      </c>
      <c r="AM23" s="34">
        <f>(AK23-AL23)*C23</f>
        <v>4.7315234999999989</v>
      </c>
      <c r="AN23" s="235" t="s">
        <v>183</v>
      </c>
      <c r="AO23" s="34">
        <f>IF(AN23="ano",(2*AA23+0.3+2*AB23)*C23*1.2,0)</f>
        <v>0</v>
      </c>
      <c r="AP23" s="34" t="s">
        <v>249</v>
      </c>
      <c r="AQ23" s="34" t="str">
        <f>D23</f>
        <v>stezka</v>
      </c>
      <c r="AR23" s="34">
        <f>IF(AP23="ano",((AA23+0.2)*(AB23+0.1)-AA23*AB23)*C23,0)</f>
        <v>0</v>
      </c>
      <c r="AS23" s="34">
        <f>IF(AR23&gt;0.001,(AA23+2*AB23)*C23*1.25,0)</f>
        <v>0</v>
      </c>
      <c r="AT23" t="s">
        <v>184</v>
      </c>
      <c r="AU23" s="13">
        <f>IF(AT23="ano",AK23+$AU$20,0)</f>
        <v>1.14375</v>
      </c>
      <c r="AV23" s="34">
        <f>'[1]Mezišachetní úsek'!Y25</f>
        <v>9.2750000000000004</v>
      </c>
      <c r="AW23" s="34">
        <f>IF(AT23="ano",AU23*C23*0.1,"není")</f>
        <v>1.8871875</v>
      </c>
      <c r="AX23" s="34">
        <f>'[1]Mezišachetní úsek'!AA25</f>
        <v>102.02500000000001</v>
      </c>
      <c r="AY23" s="34"/>
      <c r="AZ23" s="34">
        <f t="shared" ref="AZ23:AZ86" si="7">IF(AY23="ano",AU23-0.1,0)</f>
        <v>0</v>
      </c>
      <c r="BA23" s="154" t="str">
        <f>B23</f>
        <v>Š06-Š06a</v>
      </c>
      <c r="BD23" s="154" t="str">
        <f t="shared" ref="BD23:BD86" si="8">BA23</f>
        <v>Š06-Š06a</v>
      </c>
      <c r="BE23" s="13" t="str">
        <f t="shared" ref="BE23:BE86" si="9">AN23</f>
        <v>nebude</v>
      </c>
      <c r="BF23" s="13">
        <f>IF(BE23="ano",(2*AA23+0.3+2*AB23)*C23*1.2,0)</f>
        <v>0</v>
      </c>
      <c r="BG23" s="13"/>
      <c r="BH23" s="13" t="str">
        <f t="shared" ref="BH23:BH86" si="10">BE23</f>
        <v>nebude</v>
      </c>
      <c r="BI23" s="13">
        <f t="shared" ref="BI23:BI86" si="11">IF(BH23="ano",BF23*2,0)</f>
        <v>0</v>
      </c>
      <c r="BK23" s="13">
        <f>IF(BJ23="ano",AU23*C23,0)</f>
        <v>0</v>
      </c>
      <c r="BM23">
        <f>IF(BL23="ano",(AA23+AB23*2)*C23,0)</f>
        <v>0</v>
      </c>
    </row>
    <row r="24" spans="2:65" ht="15.75" x14ac:dyDescent="0.25">
      <c r="B24" s="84" t="s">
        <v>222</v>
      </c>
      <c r="C24" s="192">
        <v>25.1</v>
      </c>
      <c r="D24" s="236" t="s">
        <v>127</v>
      </c>
      <c r="F24" s="415">
        <f t="shared" si="1"/>
        <v>1</v>
      </c>
      <c r="G24" s="416">
        <f t="shared" si="2"/>
        <v>1</v>
      </c>
      <c r="H24" s="416"/>
      <c r="I24" s="416"/>
      <c r="J24" s="416"/>
      <c r="K24" s="416">
        <f t="shared" ref="K24:K87" si="12">I24*J24-L24</f>
        <v>0</v>
      </c>
      <c r="L24" s="72">
        <f>'Mezišachetní úsek'!H26</f>
        <v>0</v>
      </c>
      <c r="M24" s="72">
        <f>'Mezišachetní úsek'!I26</f>
        <v>0</v>
      </c>
      <c r="N24" s="72"/>
      <c r="O24" s="72"/>
      <c r="P24" s="416">
        <f t="shared" ref="P24:P87" si="13">N24*O24-Q24</f>
        <v>0</v>
      </c>
      <c r="Q24" s="72">
        <f>'Mezišachetní úsek'!J26</f>
        <v>0</v>
      </c>
      <c r="R24" s="72">
        <f>'Mezišachetní úsek'!K26</f>
        <v>0</v>
      </c>
      <c r="S24" s="72">
        <f>'Mezišachetní úsek'!L26</f>
        <v>0</v>
      </c>
      <c r="T24" s="72">
        <f>'Mezišachetní úsek'!M26</f>
        <v>0</v>
      </c>
      <c r="U24" s="72">
        <f>'Mezišachetní úsek'!N26</f>
        <v>2</v>
      </c>
      <c r="V24" s="72">
        <f>'Mezišachetní úsek'!O26</f>
        <v>2</v>
      </c>
      <c r="W24" s="72">
        <f>'Mezišachetní úsek'!P26</f>
        <v>4</v>
      </c>
      <c r="X24" s="72">
        <f>'Mezišachetní úsek'!Q26</f>
        <v>104</v>
      </c>
      <c r="Y24" s="380"/>
      <c r="Z24" t="s">
        <v>184</v>
      </c>
      <c r="AA24">
        <f t="shared" si="3"/>
        <v>1.2</v>
      </c>
      <c r="AB24">
        <f t="shared" si="4"/>
        <v>1.1000000000000001</v>
      </c>
      <c r="AC24" t="str">
        <f t="shared" si="5"/>
        <v>Š06-Š08</v>
      </c>
      <c r="AD24" s="395"/>
      <c r="AE24" s="396"/>
      <c r="AF24" s="397"/>
      <c r="AG24" s="398">
        <f>L24*0.055*0.055*3.14</f>
        <v>0</v>
      </c>
      <c r="AH24" s="399">
        <f>Q24*0.08*0.08*3.14</f>
        <v>0</v>
      </c>
      <c r="AI24" s="398">
        <f>W24*0.35*0.35</f>
        <v>0.48999999999999994</v>
      </c>
      <c r="AJ24" s="397"/>
      <c r="AK24" s="400">
        <f>AA24*AB24</f>
        <v>1.32</v>
      </c>
      <c r="AL24" s="34">
        <f t="shared" si="6"/>
        <v>0.48999999999999994</v>
      </c>
      <c r="AM24" s="34">
        <f>(AK24-AL24)*C24</f>
        <v>20.833000000000002</v>
      </c>
      <c r="AN24" s="235" t="s">
        <v>184</v>
      </c>
      <c r="AO24" s="34">
        <f>IF(AN24="ano",(2*AA24+0.3+2*AB24)*C24*1.2,0)</f>
        <v>147.58799999999999</v>
      </c>
      <c r="AP24" s="34" t="s">
        <v>249</v>
      </c>
      <c r="AQ24" s="34" t="str">
        <f>D24</f>
        <v>stezka</v>
      </c>
      <c r="AR24" s="34">
        <f>IF(AP24="ano",((AA24+0.2)*(AB24+0.1)-AA24*AB24)*C24,0)</f>
        <v>0</v>
      </c>
      <c r="AS24" s="34">
        <f>IF(AR24&gt;0.001,(AA24+2*AB24)*C24*1.25,0)</f>
        <v>0</v>
      </c>
      <c r="AT24" t="s">
        <v>184</v>
      </c>
      <c r="AU24" s="13">
        <f>IF(AT24="ano",AK24+$AU$20,0)</f>
        <v>2.12</v>
      </c>
      <c r="AV24" s="34">
        <f>'[1]Mezišachetní úsek'!Y26</f>
        <v>0.15000000000000002</v>
      </c>
      <c r="AW24" s="34">
        <f>IF(AT24="ano",AU24*C24*0.1,"není")</f>
        <v>5.321200000000001</v>
      </c>
      <c r="AX24" s="34">
        <f>'[1]Mezišachetní úsek'!AA26</f>
        <v>1.6500000000000001</v>
      </c>
      <c r="AY24" s="34" t="s">
        <v>184</v>
      </c>
      <c r="AZ24" s="34">
        <f t="shared" si="7"/>
        <v>2.02</v>
      </c>
      <c r="BA24" s="154" t="str">
        <f>B24</f>
        <v>Š06-Š08</v>
      </c>
      <c r="BD24" s="154" t="str">
        <f t="shared" si="8"/>
        <v>Š06-Š08</v>
      </c>
      <c r="BE24" s="13" t="str">
        <f t="shared" si="9"/>
        <v>ano</v>
      </c>
      <c r="BF24" s="13">
        <f>IF(BE24="ano",(2*AA24+0.3+2*AB24)*C24*1.2,0)</f>
        <v>147.58799999999999</v>
      </c>
      <c r="BG24" s="13"/>
      <c r="BH24" s="13" t="str">
        <f t="shared" si="10"/>
        <v>ano</v>
      </c>
      <c r="BI24" s="13">
        <f t="shared" si="11"/>
        <v>295.17599999999999</v>
      </c>
      <c r="BJ24" t="s">
        <v>184</v>
      </c>
      <c r="BK24" s="13">
        <f>IF(BJ24="ano",AU24*C24,0)</f>
        <v>53.212000000000003</v>
      </c>
      <c r="BL24" t="s">
        <v>184</v>
      </c>
      <c r="BM24">
        <f>IF(BL24="ano",(AA24+AB24*2)*C24,0)</f>
        <v>85.340000000000018</v>
      </c>
    </row>
    <row r="25" spans="2:65" ht="15.75" x14ac:dyDescent="0.25">
      <c r="B25" s="84" t="s">
        <v>238</v>
      </c>
      <c r="C25" s="192">
        <v>27.3</v>
      </c>
      <c r="D25" s="236" t="s">
        <v>127</v>
      </c>
      <c r="F25" s="415">
        <f t="shared" si="1"/>
        <v>1</v>
      </c>
      <c r="G25" s="416">
        <f t="shared" si="2"/>
        <v>1</v>
      </c>
      <c r="H25" s="416"/>
      <c r="I25" s="416"/>
      <c r="J25" s="416"/>
      <c r="K25" s="416">
        <f t="shared" si="12"/>
        <v>0</v>
      </c>
      <c r="L25" s="72">
        <f>'Mezišachetní úsek'!H27</f>
        <v>0</v>
      </c>
      <c r="M25" s="72">
        <f>'Mezišachetní úsek'!I27</f>
        <v>0</v>
      </c>
      <c r="N25" s="72"/>
      <c r="O25" s="72"/>
      <c r="P25" s="416">
        <f t="shared" si="13"/>
        <v>0</v>
      </c>
      <c r="Q25" s="72">
        <f>'Mezišachetní úsek'!J27</f>
        <v>0</v>
      </c>
      <c r="R25" s="72">
        <f>'Mezišachetní úsek'!K27</f>
        <v>0</v>
      </c>
      <c r="S25" s="72">
        <f>'Mezišachetní úsek'!L27</f>
        <v>0</v>
      </c>
      <c r="T25" s="72">
        <f>'Mezišachetní úsek'!M27</f>
        <v>0</v>
      </c>
      <c r="U25" s="72">
        <f>'Mezišachetní úsek'!N27</f>
        <v>2</v>
      </c>
      <c r="V25" s="72">
        <f>'Mezišachetní úsek'!O27</f>
        <v>2</v>
      </c>
      <c r="W25" s="72">
        <f>'Mezišachetní úsek'!P27</f>
        <v>4</v>
      </c>
      <c r="X25" s="72">
        <f>'Mezišachetní úsek'!Q27</f>
        <v>112</v>
      </c>
      <c r="Y25" s="380"/>
      <c r="Z25" t="s">
        <v>184</v>
      </c>
      <c r="AA25">
        <f t="shared" si="3"/>
        <v>1.2</v>
      </c>
      <c r="AB25">
        <f t="shared" si="4"/>
        <v>1.1000000000000001</v>
      </c>
      <c r="AC25" t="str">
        <f t="shared" si="5"/>
        <v>Stáv. Š05-Š07</v>
      </c>
      <c r="AD25" s="395"/>
      <c r="AE25" s="396"/>
      <c r="AF25" s="397"/>
      <c r="AG25" s="398">
        <f>L25*0.055*0.055*3.14</f>
        <v>0</v>
      </c>
      <c r="AH25" s="399">
        <f>Q25*0.08*0.08*3.14</f>
        <v>0</v>
      </c>
      <c r="AI25" s="398">
        <f>W25*0.35*0.35</f>
        <v>0.48999999999999994</v>
      </c>
      <c r="AJ25" s="397"/>
      <c r="AK25" s="400">
        <f>AA25*AB25</f>
        <v>1.32</v>
      </c>
      <c r="AL25" s="34">
        <f t="shared" si="6"/>
        <v>0.48999999999999994</v>
      </c>
      <c r="AM25" s="34">
        <f>(AK25-AL25)*C25</f>
        <v>22.659000000000002</v>
      </c>
      <c r="AN25" s="235" t="s">
        <v>184</v>
      </c>
      <c r="AO25" s="34">
        <f>IF(AN25="ano",(2*AA25+0.3+2*AB25)*C25*1.2,0)</f>
        <v>160.524</v>
      </c>
      <c r="AP25" s="34" t="s">
        <v>249</v>
      </c>
      <c r="AQ25" s="34" t="str">
        <f>D25</f>
        <v>stezka</v>
      </c>
      <c r="AR25" s="34">
        <f>IF(AP25="ano",((AA25+0.2)*(AB25+0.1)-AA25*AB25)*C25,0)</f>
        <v>0</v>
      </c>
      <c r="AS25" s="34">
        <f>IF(AR25&gt;0.001,(AA25+2*AB25)*C25*1.25,0)</f>
        <v>0</v>
      </c>
      <c r="AT25" t="s">
        <v>184</v>
      </c>
      <c r="AU25" s="13">
        <f>IF(AT25="ano",AK25+$AU$20,0)</f>
        <v>2.12</v>
      </c>
      <c r="AV25" s="34">
        <f>'[1]Mezišachetní úsek'!Y27</f>
        <v>0.15000000000000002</v>
      </c>
      <c r="AW25" s="34">
        <f>IF(AT25="ano",AU25*C25*0.1,"není")</f>
        <v>5.7876000000000012</v>
      </c>
      <c r="AX25" s="34">
        <f>'[1]Mezišachetní úsek'!AA27</f>
        <v>1.6500000000000001</v>
      </c>
      <c r="AY25" s="34" t="s">
        <v>184</v>
      </c>
      <c r="AZ25" s="34">
        <f t="shared" si="7"/>
        <v>2.02</v>
      </c>
      <c r="BA25" s="154" t="str">
        <f>B25</f>
        <v>Stáv. Š05-Š07</v>
      </c>
      <c r="BD25" s="154" t="str">
        <f t="shared" si="8"/>
        <v>Stáv. Š05-Š07</v>
      </c>
      <c r="BE25" s="13" t="str">
        <f t="shared" si="9"/>
        <v>ano</v>
      </c>
      <c r="BF25" s="13">
        <f>IF(BE25="ano",(2*AA25+0.3+2*AB25)*C25*1.2,0)</f>
        <v>160.524</v>
      </c>
      <c r="BG25" s="13"/>
      <c r="BH25" s="13" t="str">
        <f t="shared" si="10"/>
        <v>ano</v>
      </c>
      <c r="BI25" s="13">
        <f t="shared" si="11"/>
        <v>321.048</v>
      </c>
      <c r="BJ25" t="s">
        <v>184</v>
      </c>
      <c r="BK25" s="13">
        <f>IF(BJ25="ano",AU25*C25,0)</f>
        <v>57.876000000000005</v>
      </c>
      <c r="BL25" t="s">
        <v>184</v>
      </c>
      <c r="BM25">
        <f>IF(BL25="ano",(AA25+AB25*2)*C25,0)</f>
        <v>92.820000000000007</v>
      </c>
    </row>
    <row r="26" spans="2:65" ht="15.75" x14ac:dyDescent="0.25">
      <c r="B26" s="84" t="s">
        <v>54</v>
      </c>
      <c r="C26" s="192">
        <v>29.8</v>
      </c>
      <c r="D26" s="236" t="s">
        <v>127</v>
      </c>
      <c r="F26" s="415">
        <f t="shared" si="1"/>
        <v>1</v>
      </c>
      <c r="G26" s="416">
        <f t="shared" si="2"/>
        <v>1</v>
      </c>
      <c r="H26" s="416"/>
      <c r="I26" s="416"/>
      <c r="J26" s="416"/>
      <c r="K26" s="416">
        <f t="shared" si="12"/>
        <v>0</v>
      </c>
      <c r="L26" s="72">
        <f>'Mezišachetní úsek'!H28</f>
        <v>0</v>
      </c>
      <c r="M26" s="72">
        <f>'Mezišachetní úsek'!I28</f>
        <v>0</v>
      </c>
      <c r="N26" s="72"/>
      <c r="O26" s="72"/>
      <c r="P26" s="416">
        <f t="shared" si="13"/>
        <v>0</v>
      </c>
      <c r="Q26" s="72">
        <f>'Mezišachetní úsek'!J28</f>
        <v>0</v>
      </c>
      <c r="R26" s="72">
        <f>'Mezišachetní úsek'!K28</f>
        <v>0</v>
      </c>
      <c r="S26" s="72">
        <f>'Mezišachetní úsek'!L28</f>
        <v>0</v>
      </c>
      <c r="T26" s="72">
        <f>'Mezišachetní úsek'!M28</f>
        <v>0</v>
      </c>
      <c r="U26" s="72">
        <f>'Mezišachetní úsek'!N28</f>
        <v>2</v>
      </c>
      <c r="V26" s="72">
        <f>'Mezišachetní úsek'!O28</f>
        <v>2</v>
      </c>
      <c r="W26" s="72">
        <f>'Mezišachetní úsek'!P28</f>
        <v>4</v>
      </c>
      <c r="X26" s="72">
        <f>'Mezišachetní úsek'!Q28</f>
        <v>124</v>
      </c>
      <c r="Y26" s="380"/>
      <c r="Z26" t="s">
        <v>184</v>
      </c>
      <c r="AA26">
        <f t="shared" si="3"/>
        <v>1.2</v>
      </c>
      <c r="AB26">
        <f t="shared" si="4"/>
        <v>1.1000000000000001</v>
      </c>
      <c r="AC26" t="str">
        <f t="shared" si="5"/>
        <v>Š07-Š08</v>
      </c>
      <c r="AD26" s="395"/>
      <c r="AE26" s="396"/>
      <c r="AF26" s="397"/>
      <c r="AG26" s="398">
        <f>L26*0.055*0.055*3.14</f>
        <v>0</v>
      </c>
      <c r="AH26" s="399">
        <f>Q26*0.08*0.08*3.14</f>
        <v>0</v>
      </c>
      <c r="AI26" s="398">
        <f>W26*0.35*0.35</f>
        <v>0.48999999999999994</v>
      </c>
      <c r="AJ26" s="397"/>
      <c r="AK26" s="400">
        <f>AA26*AB26</f>
        <v>1.32</v>
      </c>
      <c r="AL26" s="34">
        <f t="shared" si="6"/>
        <v>0.48999999999999994</v>
      </c>
      <c r="AM26" s="34">
        <f>(AK26-AL26)*C26</f>
        <v>24.734000000000002</v>
      </c>
      <c r="AN26" s="235" t="s">
        <v>184</v>
      </c>
      <c r="AO26" s="34">
        <f>IF(AN26="ano",(2*AA26+0.3+2*AB26)*C26*1.2,0)</f>
        <v>175.22400000000002</v>
      </c>
      <c r="AP26" s="34" t="s">
        <v>249</v>
      </c>
      <c r="AQ26" s="34" t="str">
        <f>D26</f>
        <v>stezka</v>
      </c>
      <c r="AR26" s="34">
        <f>IF(AP26="ano",((AA26+0.2)*(AB26+0.1)-AA26*AB26)*C26,0)</f>
        <v>0</v>
      </c>
      <c r="AS26" s="34">
        <f>IF(AR26&gt;0.001,(AA26+2*AB26)*C26*1.25,0)</f>
        <v>0</v>
      </c>
      <c r="AT26" t="s">
        <v>184</v>
      </c>
      <c r="AU26" s="13">
        <f>IF(AT26="ano",AK26+$AU$20,0)</f>
        <v>2.12</v>
      </c>
      <c r="AV26" s="34">
        <f>'[1]Mezišachetní úsek'!Y28</f>
        <v>5.2149999999999999</v>
      </c>
      <c r="AW26" s="34">
        <f>IF(AT26="ano",AU26*C26*0.1,"není")</f>
        <v>6.3176000000000005</v>
      </c>
      <c r="AX26" s="34">
        <f>'[1]Mezišachetní úsek'!AA28</f>
        <v>57.365000000000002</v>
      </c>
      <c r="AY26" s="34" t="s">
        <v>184</v>
      </c>
      <c r="AZ26" s="34">
        <f t="shared" si="7"/>
        <v>2.02</v>
      </c>
      <c r="BA26" s="154" t="str">
        <f>B26</f>
        <v>Š07-Š08</v>
      </c>
      <c r="BD26" s="154" t="str">
        <f t="shared" si="8"/>
        <v>Š07-Š08</v>
      </c>
      <c r="BE26" s="13" t="str">
        <f t="shared" si="9"/>
        <v>ano</v>
      </c>
      <c r="BF26" s="13">
        <f>IF(BE26="ano",(2*AA26+0.3+2*AB26)*C26*1.2,0)</f>
        <v>175.22400000000002</v>
      </c>
      <c r="BG26" s="13"/>
      <c r="BH26" s="13" t="str">
        <f t="shared" si="10"/>
        <v>ano</v>
      </c>
      <c r="BI26" s="13">
        <f t="shared" si="11"/>
        <v>350.44800000000004</v>
      </c>
      <c r="BJ26" t="s">
        <v>184</v>
      </c>
      <c r="BK26" s="13">
        <f>IF(BJ26="ano",AU26*C26,0)</f>
        <v>63.176000000000002</v>
      </c>
      <c r="BL26" t="s">
        <v>184</v>
      </c>
      <c r="BM26">
        <f>IF(BL26="ano",(AA26+AB26*2)*C26,0)</f>
        <v>101.32000000000001</v>
      </c>
    </row>
    <row r="27" spans="2:65" ht="15.75" x14ac:dyDescent="0.25">
      <c r="B27" s="84" t="s">
        <v>55</v>
      </c>
      <c r="C27" s="192">
        <v>15.42</v>
      </c>
      <c r="D27" s="236" t="s">
        <v>127</v>
      </c>
      <c r="F27" s="415">
        <f t="shared" si="1"/>
        <v>1</v>
      </c>
      <c r="G27" s="416">
        <f t="shared" si="2"/>
        <v>1.5</v>
      </c>
      <c r="H27" s="416"/>
      <c r="I27" s="416"/>
      <c r="J27" s="416"/>
      <c r="K27" s="416">
        <f t="shared" si="12"/>
        <v>0</v>
      </c>
      <c r="L27" s="72">
        <f>'Mezišachetní úsek'!H29</f>
        <v>0</v>
      </c>
      <c r="M27" s="72">
        <f>'Mezišachetní úsek'!I29</f>
        <v>0</v>
      </c>
      <c r="N27" s="72"/>
      <c r="O27" s="72"/>
      <c r="P27" s="416">
        <f t="shared" si="13"/>
        <v>0</v>
      </c>
      <c r="Q27" s="72">
        <f>'Mezišachetní úsek'!J29</f>
        <v>0</v>
      </c>
      <c r="R27" s="72">
        <f>'Mezišachetní úsek'!K29</f>
        <v>0</v>
      </c>
      <c r="S27" s="72">
        <f>'Mezišachetní úsek'!L29</f>
        <v>0</v>
      </c>
      <c r="T27" s="72">
        <f>'Mezišachetní úsek'!M29</f>
        <v>0</v>
      </c>
      <c r="U27" s="72">
        <f>'Mezišachetní úsek'!N29</f>
        <v>2</v>
      </c>
      <c r="V27" s="72">
        <f>'Mezišachetní úsek'!O29</f>
        <v>3</v>
      </c>
      <c r="W27" s="72">
        <f>'Mezišachetní úsek'!P29</f>
        <v>6</v>
      </c>
      <c r="X27" s="72">
        <f>'Mezišachetní úsek'!Q29</f>
        <v>96</v>
      </c>
      <c r="Y27" s="380"/>
      <c r="Z27" t="s">
        <v>184</v>
      </c>
      <c r="AA27">
        <f t="shared" si="3"/>
        <v>1.2</v>
      </c>
      <c r="AB27">
        <f t="shared" si="4"/>
        <v>1.6</v>
      </c>
      <c r="AC27" t="str">
        <f t="shared" si="5"/>
        <v>Š08-Š09</v>
      </c>
      <c r="AD27" s="395"/>
      <c r="AE27" s="396"/>
      <c r="AF27" s="397"/>
      <c r="AG27" s="398">
        <f>L27*0.055*0.055*3.14</f>
        <v>0</v>
      </c>
      <c r="AH27" s="399">
        <f>Q27*0.08*0.08*3.14</f>
        <v>0</v>
      </c>
      <c r="AI27" s="398">
        <f>W27*0.35*0.35</f>
        <v>0.73499999999999988</v>
      </c>
      <c r="AJ27" s="397"/>
      <c r="AK27" s="400">
        <f>AA27*AB27</f>
        <v>1.92</v>
      </c>
      <c r="AL27" s="34">
        <f t="shared" si="6"/>
        <v>0.73499999999999988</v>
      </c>
      <c r="AM27" s="34">
        <f>(AK27-AL27)*C27</f>
        <v>18.2727</v>
      </c>
      <c r="AN27" s="235" t="s">
        <v>184</v>
      </c>
      <c r="AO27" s="34">
        <f>IF(AN27="ano",(2*AA27+0.3+2*AB27)*C27*1.2,0)</f>
        <v>109.17360000000001</v>
      </c>
      <c r="AP27" s="34" t="s">
        <v>249</v>
      </c>
      <c r="AQ27" s="34" t="str">
        <f>D27</f>
        <v>stezka</v>
      </c>
      <c r="AR27" s="34">
        <f>IF(AP27="ano",((AA27+0.2)*(AB27+0.1)-AA27*AB27)*C27,0)</f>
        <v>0</v>
      </c>
      <c r="AS27" s="34">
        <f>IF(AR27&gt;0.001,(AA27+2*AB27)*C27*1.25,0)</f>
        <v>0</v>
      </c>
      <c r="AT27" t="s">
        <v>184</v>
      </c>
      <c r="AU27" s="13">
        <f>IF(AT27="ano",AK27+$AU$20,0)</f>
        <v>2.7199999999999998</v>
      </c>
      <c r="AV27" s="34">
        <f>'[1]Mezišachetní úsek'!Y29</f>
        <v>0.15000000000000002</v>
      </c>
      <c r="AW27" s="34">
        <f>IF(AT27="ano",AU27*C27*0.1,"není")</f>
        <v>4.1942399999999997</v>
      </c>
      <c r="AX27" s="34">
        <f>'[1]Mezišachetní úsek'!AA29</f>
        <v>1.6500000000000001</v>
      </c>
      <c r="AY27" s="34" t="s">
        <v>184</v>
      </c>
      <c r="AZ27" s="34">
        <f t="shared" si="7"/>
        <v>2.6199999999999997</v>
      </c>
      <c r="BA27" s="154" t="str">
        <f>B27</f>
        <v>Š08-Š09</v>
      </c>
      <c r="BD27" s="154" t="str">
        <f t="shared" si="8"/>
        <v>Š08-Š09</v>
      </c>
      <c r="BE27" s="13" t="str">
        <f t="shared" si="9"/>
        <v>ano</v>
      </c>
      <c r="BF27" s="13">
        <f>IF(BE27="ano",(2*AA27+0.3+2*AB27)*C27*1.2,0)</f>
        <v>109.17360000000001</v>
      </c>
      <c r="BG27" s="13"/>
      <c r="BH27" s="13" t="str">
        <f t="shared" si="10"/>
        <v>ano</v>
      </c>
      <c r="BI27" s="13">
        <f t="shared" si="11"/>
        <v>218.34720000000002</v>
      </c>
      <c r="BJ27" t="s">
        <v>184</v>
      </c>
      <c r="BK27" s="13">
        <f>IF(BJ27="ano",AU27*C27,0)</f>
        <v>41.942399999999999</v>
      </c>
      <c r="BL27" t="s">
        <v>184</v>
      </c>
      <c r="BM27">
        <f>IF(BL27="ano",(AA27+AB27*2)*C27,0)</f>
        <v>67.847999999999999</v>
      </c>
    </row>
    <row r="28" spans="2:65" ht="15.75" x14ac:dyDescent="0.25">
      <c r="B28" s="84" t="s">
        <v>56</v>
      </c>
      <c r="C28" s="192">
        <v>39.4</v>
      </c>
      <c r="D28" s="236" t="s">
        <v>127</v>
      </c>
      <c r="F28" s="415">
        <f t="shared" si="1"/>
        <v>1</v>
      </c>
      <c r="G28" s="416">
        <f t="shared" si="2"/>
        <v>1.5</v>
      </c>
      <c r="H28" s="416"/>
      <c r="I28" s="416"/>
      <c r="J28" s="416"/>
      <c r="K28" s="416">
        <f t="shared" si="12"/>
        <v>0</v>
      </c>
      <c r="L28" s="72">
        <f>'Mezišachetní úsek'!H30</f>
        <v>0</v>
      </c>
      <c r="M28" s="72">
        <f>'Mezišachetní úsek'!I30</f>
        <v>0</v>
      </c>
      <c r="N28" s="72"/>
      <c r="O28" s="72"/>
      <c r="P28" s="416">
        <f t="shared" si="13"/>
        <v>0</v>
      </c>
      <c r="Q28" s="72">
        <f>'Mezišachetní úsek'!J30</f>
        <v>0</v>
      </c>
      <c r="R28" s="72">
        <f>'Mezišachetní úsek'!K30</f>
        <v>0</v>
      </c>
      <c r="S28" s="72">
        <f>'Mezišachetní úsek'!L30</f>
        <v>0</v>
      </c>
      <c r="T28" s="72">
        <f>'Mezišachetní úsek'!M30</f>
        <v>0</v>
      </c>
      <c r="U28" s="72">
        <f>'Mezišachetní úsek'!N30</f>
        <v>2</v>
      </c>
      <c r="V28" s="72">
        <f>'Mezišachetní úsek'!O30</f>
        <v>3</v>
      </c>
      <c r="W28" s="72">
        <f>'Mezišachetní úsek'!P30</f>
        <v>6</v>
      </c>
      <c r="X28" s="72">
        <f>'Mezišachetní úsek'!Q30</f>
        <v>240</v>
      </c>
      <c r="Y28" s="380"/>
      <c r="Z28" t="s">
        <v>184</v>
      </c>
      <c r="AA28">
        <f t="shared" si="3"/>
        <v>1.2</v>
      </c>
      <c r="AB28">
        <f t="shared" si="4"/>
        <v>1.6</v>
      </c>
      <c r="AC28" t="str">
        <f t="shared" si="5"/>
        <v>Š09-Š10</v>
      </c>
      <c r="AD28" s="395"/>
      <c r="AE28" s="396"/>
      <c r="AF28" s="397"/>
      <c r="AG28" s="398">
        <f>L28*0.055*0.055*3.14</f>
        <v>0</v>
      </c>
      <c r="AH28" s="399">
        <f>Q28*0.08*0.08*3.14</f>
        <v>0</v>
      </c>
      <c r="AI28" s="398">
        <f>W28*0.35*0.35</f>
        <v>0.73499999999999988</v>
      </c>
      <c r="AJ28" s="397"/>
      <c r="AK28" s="400">
        <f>AA28*AB28</f>
        <v>1.92</v>
      </c>
      <c r="AL28" s="34">
        <f t="shared" si="6"/>
        <v>0.73499999999999988</v>
      </c>
      <c r="AM28" s="34">
        <f>(AK28-AL28)*C28</f>
        <v>46.689</v>
      </c>
      <c r="AN28" s="235" t="s">
        <v>184</v>
      </c>
      <c r="AO28" s="34">
        <f>IF(AN28="ano",(2*AA28+0.3+2*AB28)*C28*1.2,0)</f>
        <v>278.952</v>
      </c>
      <c r="AP28" s="34" t="s">
        <v>249</v>
      </c>
      <c r="AQ28" s="34" t="str">
        <f>D28</f>
        <v>stezka</v>
      </c>
      <c r="AR28" s="34">
        <f>IF(AP28="ano",((AA28+0.2)*(AB28+0.1)-AA28*AB28)*C28,0)</f>
        <v>0</v>
      </c>
      <c r="AS28" s="34">
        <f>IF(AR28&gt;0.001,(AA28+2*AB28)*C28*1.25,0)</f>
        <v>0</v>
      </c>
      <c r="AT28" t="s">
        <v>184</v>
      </c>
      <c r="AU28" s="13">
        <f>IF(AT28="ano",AK28+$AU$20,0)</f>
        <v>2.7199999999999998</v>
      </c>
      <c r="AV28" s="34">
        <f>'[1]Mezišachetní úsek'!Y30</f>
        <v>6.93</v>
      </c>
      <c r="AW28" s="34">
        <f>IF(AT28="ano",AU28*C28*0.1,"není")</f>
        <v>10.716799999999999</v>
      </c>
      <c r="AX28" s="34">
        <f>'[1]Mezišachetní úsek'!AA30</f>
        <v>76.23</v>
      </c>
      <c r="AY28" s="34" t="s">
        <v>184</v>
      </c>
      <c r="AZ28" s="34">
        <f t="shared" si="7"/>
        <v>2.6199999999999997</v>
      </c>
      <c r="BA28" s="154" t="str">
        <f>B28</f>
        <v>Š09-Š10</v>
      </c>
      <c r="BD28" s="154" t="str">
        <f t="shared" si="8"/>
        <v>Š09-Š10</v>
      </c>
      <c r="BE28" s="13" t="str">
        <f t="shared" si="9"/>
        <v>ano</v>
      </c>
      <c r="BF28" s="13">
        <f>IF(BE28="ano",(2*AA28+0.3+2*AB28)*C28*1.2,0)</f>
        <v>278.952</v>
      </c>
      <c r="BG28" s="13"/>
      <c r="BH28" s="13" t="str">
        <f t="shared" si="10"/>
        <v>ano</v>
      </c>
      <c r="BI28" s="13">
        <f t="shared" si="11"/>
        <v>557.904</v>
      </c>
      <c r="BJ28" t="s">
        <v>184</v>
      </c>
      <c r="BK28" s="13">
        <f>IF(BJ28="ano",AU28*C28,0)</f>
        <v>107.16799999999999</v>
      </c>
      <c r="BL28" t="s">
        <v>184</v>
      </c>
      <c r="BM28">
        <f>IF(BL28="ano",(AA28+AB28*2)*C28,0)</f>
        <v>173.36</v>
      </c>
    </row>
    <row r="29" spans="2:65" ht="15.75" x14ac:dyDescent="0.25">
      <c r="B29" s="84" t="s">
        <v>223</v>
      </c>
      <c r="C29" s="192">
        <v>33.69</v>
      </c>
      <c r="D29" s="236" t="s">
        <v>127</v>
      </c>
      <c r="F29" s="415">
        <f t="shared" si="1"/>
        <v>1</v>
      </c>
      <c r="G29" s="416">
        <f t="shared" si="2"/>
        <v>1.5</v>
      </c>
      <c r="H29" s="416"/>
      <c r="I29" s="416"/>
      <c r="J29" s="416"/>
      <c r="K29" s="416">
        <f t="shared" si="12"/>
        <v>0</v>
      </c>
      <c r="L29" s="72">
        <f>'Mezišachetní úsek'!H31</f>
        <v>0</v>
      </c>
      <c r="M29" s="72">
        <f>'Mezišachetní úsek'!I31</f>
        <v>0</v>
      </c>
      <c r="N29" s="72"/>
      <c r="O29" s="72"/>
      <c r="P29" s="416">
        <f t="shared" si="13"/>
        <v>0</v>
      </c>
      <c r="Q29" s="72">
        <f>'Mezišachetní úsek'!J31</f>
        <v>0</v>
      </c>
      <c r="R29" s="72">
        <f>'Mezišachetní úsek'!K31</f>
        <v>0</v>
      </c>
      <c r="S29" s="72">
        <f>'Mezišachetní úsek'!L31</f>
        <v>0</v>
      </c>
      <c r="T29" s="72">
        <f>'Mezišachetní úsek'!M31</f>
        <v>0</v>
      </c>
      <c r="U29" s="72">
        <f>'Mezišachetní úsek'!N31</f>
        <v>2</v>
      </c>
      <c r="V29" s="72">
        <f>'Mezišachetní úsek'!O31</f>
        <v>3</v>
      </c>
      <c r="W29" s="72">
        <f>'Mezišachetní úsek'!P31</f>
        <v>6</v>
      </c>
      <c r="X29" s="72">
        <f>'Mezišachetní úsek'!Q31</f>
        <v>210</v>
      </c>
      <c r="Y29" s="380"/>
      <c r="Z29" t="s">
        <v>184</v>
      </c>
      <c r="AA29">
        <f t="shared" si="3"/>
        <v>1.2</v>
      </c>
      <c r="AB29">
        <f t="shared" si="4"/>
        <v>1.6</v>
      </c>
      <c r="AC29" t="str">
        <f t="shared" si="5"/>
        <v>Š10-Š11</v>
      </c>
      <c r="AD29" s="395"/>
      <c r="AE29" s="396"/>
      <c r="AF29" s="397"/>
      <c r="AG29" s="398">
        <f>L29*0.055*0.055*3.14</f>
        <v>0</v>
      </c>
      <c r="AH29" s="399">
        <f>Q29*0.08*0.08*3.14</f>
        <v>0</v>
      </c>
      <c r="AI29" s="398">
        <f>W29*0.35*0.35</f>
        <v>0.73499999999999988</v>
      </c>
      <c r="AJ29" s="397"/>
      <c r="AK29" s="400">
        <f>AA29*AB29</f>
        <v>1.92</v>
      </c>
      <c r="AL29" s="34">
        <f t="shared" si="6"/>
        <v>0.73499999999999988</v>
      </c>
      <c r="AM29" s="34">
        <f>(AK29-AL29)*C29</f>
        <v>39.922649999999997</v>
      </c>
      <c r="AN29" s="235" t="s">
        <v>184</v>
      </c>
      <c r="AO29" s="34">
        <f>IF(AN29="ano",(2*AA29+0.3+2*AB29)*C29*1.2,0)</f>
        <v>238.52519999999998</v>
      </c>
      <c r="AP29" s="34" t="s">
        <v>249</v>
      </c>
      <c r="AQ29" s="34" t="str">
        <f>D29</f>
        <v>stezka</v>
      </c>
      <c r="AR29" s="34">
        <f>IF(AP29="ano",((AA29+0.2)*(AB29+0.1)-AA29*AB29)*C29,0)</f>
        <v>0</v>
      </c>
      <c r="AS29" s="34">
        <f>IF(AR29&gt;0.001,(AA29+2*AB29)*C29*1.25,0)</f>
        <v>0</v>
      </c>
      <c r="AT29" t="s">
        <v>184</v>
      </c>
      <c r="AU29" s="13">
        <f>IF(AT29="ano",AK29+$AU$20,0)</f>
        <v>2.7199999999999998</v>
      </c>
      <c r="AV29" s="34">
        <f>'[1]Mezišachetní úsek'!Y31</f>
        <v>0</v>
      </c>
      <c r="AW29" s="34">
        <f>IF(AT29="ano",AU29*C29*0.1,"není")</f>
        <v>9.1636799999999976</v>
      </c>
      <c r="AX29" s="34">
        <f>'[1]Mezišachetní úsek'!AA31</f>
        <v>0</v>
      </c>
      <c r="AY29" s="34" t="s">
        <v>184</v>
      </c>
      <c r="AZ29" s="34">
        <f t="shared" si="7"/>
        <v>2.6199999999999997</v>
      </c>
      <c r="BA29" s="154" t="str">
        <f>B29</f>
        <v>Š10-Š11</v>
      </c>
      <c r="BD29" s="154" t="str">
        <f t="shared" si="8"/>
        <v>Š10-Š11</v>
      </c>
      <c r="BE29" s="13" t="str">
        <f t="shared" si="9"/>
        <v>ano</v>
      </c>
      <c r="BF29" s="13">
        <f>IF(BE29="ano",(2*AA29+0.3+2*AB29)*C29*1.2,0)</f>
        <v>238.52519999999998</v>
      </c>
      <c r="BG29" s="13"/>
      <c r="BH29" s="13" t="str">
        <f t="shared" si="10"/>
        <v>ano</v>
      </c>
      <c r="BI29" s="13">
        <f t="shared" si="11"/>
        <v>477.05039999999997</v>
      </c>
      <c r="BJ29" t="s">
        <v>184</v>
      </c>
      <c r="BK29" s="13">
        <f>IF(BJ29="ano",AU29*C29,0)</f>
        <v>91.63679999999998</v>
      </c>
      <c r="BL29" t="s">
        <v>184</v>
      </c>
      <c r="BM29">
        <f>IF(BL29="ano",(AA29+AB29*2)*C29,0)</f>
        <v>148.23599999999999</v>
      </c>
    </row>
    <row r="30" spans="2:65" ht="15.75" x14ac:dyDescent="0.25">
      <c r="B30" s="84" t="s">
        <v>224</v>
      </c>
      <c r="C30" s="192">
        <v>30.17</v>
      </c>
      <c r="D30" s="236" t="s">
        <v>127</v>
      </c>
      <c r="F30" s="415">
        <f t="shared" si="1"/>
        <v>1</v>
      </c>
      <c r="G30" s="416">
        <f t="shared" si="2"/>
        <v>1.5</v>
      </c>
      <c r="H30" s="416"/>
      <c r="I30" s="416"/>
      <c r="J30" s="416"/>
      <c r="K30" s="416">
        <f t="shared" si="12"/>
        <v>0</v>
      </c>
      <c r="L30" s="72">
        <f>'Mezišachetní úsek'!H32</f>
        <v>0</v>
      </c>
      <c r="M30" s="72">
        <f>'Mezišachetní úsek'!I32</f>
        <v>0</v>
      </c>
      <c r="N30" s="72"/>
      <c r="O30" s="72"/>
      <c r="P30" s="416">
        <f t="shared" si="13"/>
        <v>0</v>
      </c>
      <c r="Q30" s="72">
        <f>'Mezišachetní úsek'!J32</f>
        <v>0</v>
      </c>
      <c r="R30" s="72">
        <f>'Mezišachetní úsek'!K32</f>
        <v>0</v>
      </c>
      <c r="S30" s="72">
        <f>'Mezišachetní úsek'!L32</f>
        <v>0</v>
      </c>
      <c r="T30" s="72">
        <f>'Mezišachetní úsek'!M32</f>
        <v>0</v>
      </c>
      <c r="U30" s="72">
        <f>'Mezišachetní úsek'!N32</f>
        <v>2</v>
      </c>
      <c r="V30" s="72">
        <f>'Mezišachetní úsek'!O32</f>
        <v>3</v>
      </c>
      <c r="W30" s="72">
        <f>'Mezišachetní úsek'!P32</f>
        <v>6</v>
      </c>
      <c r="X30" s="72">
        <f>'Mezišachetní úsek'!Q32</f>
        <v>186</v>
      </c>
      <c r="Y30" s="380"/>
      <c r="Z30" t="s">
        <v>184</v>
      </c>
      <c r="AA30">
        <f t="shared" si="3"/>
        <v>1.2</v>
      </c>
      <c r="AB30">
        <f t="shared" si="4"/>
        <v>1.6</v>
      </c>
      <c r="AC30" t="str">
        <f t="shared" si="5"/>
        <v>Š11-Š12</v>
      </c>
      <c r="AD30" s="395"/>
      <c r="AE30" s="396"/>
      <c r="AF30" s="397"/>
      <c r="AG30" s="398">
        <f>L30*0.055*0.055*3.14</f>
        <v>0</v>
      </c>
      <c r="AH30" s="399">
        <f>Q30*0.08*0.08*3.14</f>
        <v>0</v>
      </c>
      <c r="AI30" s="398">
        <f>W30*0.35*0.35</f>
        <v>0.73499999999999988</v>
      </c>
      <c r="AJ30" s="397"/>
      <c r="AK30" s="400">
        <f>AA30*AB30</f>
        <v>1.92</v>
      </c>
      <c r="AL30" s="34">
        <f t="shared" si="6"/>
        <v>0.73499999999999988</v>
      </c>
      <c r="AM30" s="34">
        <f>(AK30-AL30)*C30</f>
        <v>35.751450000000006</v>
      </c>
      <c r="AN30" s="235" t="s">
        <v>184</v>
      </c>
      <c r="AO30" s="34">
        <f>IF(AN30="ano",(2*AA30+0.3+2*AB30)*C30*1.2,0)</f>
        <v>213.6036</v>
      </c>
      <c r="AP30" s="34" t="s">
        <v>249</v>
      </c>
      <c r="AQ30" s="34" t="str">
        <f>D30</f>
        <v>stezka</v>
      </c>
      <c r="AR30" s="34">
        <f>IF(AP30="ano",((AA30+0.2)*(AB30+0.1)-AA30*AB30)*C30,0)</f>
        <v>0</v>
      </c>
      <c r="AS30" s="34">
        <f>IF(AR30&gt;0.001,(AA30+2*AB30)*C30*1.25,0)</f>
        <v>0</v>
      </c>
      <c r="AT30" t="s">
        <v>184</v>
      </c>
      <c r="AU30" s="13">
        <f>IF(AT30="ano",AK30+$AU$20,0)</f>
        <v>2.7199999999999998</v>
      </c>
      <c r="AV30" s="34">
        <f>'[1]Mezišachetní úsek'!Y32</f>
        <v>11.620000000000003</v>
      </c>
      <c r="AW30" s="34">
        <f>IF(AT30="ano",AU30*C30*0.1,"není")</f>
        <v>8.2062399999999993</v>
      </c>
      <c r="AX30" s="34">
        <f>'[1]Mezišachetní úsek'!AA32</f>
        <v>127.82000000000004</v>
      </c>
      <c r="AY30" s="34" t="s">
        <v>184</v>
      </c>
      <c r="AZ30" s="34">
        <f t="shared" si="7"/>
        <v>2.6199999999999997</v>
      </c>
      <c r="BA30" s="154" t="str">
        <f>B30</f>
        <v>Š11-Š12</v>
      </c>
      <c r="BD30" s="154" t="str">
        <f t="shared" si="8"/>
        <v>Š11-Š12</v>
      </c>
      <c r="BE30" s="13" t="str">
        <f t="shared" si="9"/>
        <v>ano</v>
      </c>
      <c r="BF30" s="13">
        <f>IF(BE30="ano",(2*AA30+0.3+2*AB30)*C30*1.2,0)</f>
        <v>213.6036</v>
      </c>
      <c r="BG30" s="13"/>
      <c r="BH30" s="13" t="str">
        <f t="shared" si="10"/>
        <v>ano</v>
      </c>
      <c r="BI30" s="13">
        <f t="shared" si="11"/>
        <v>427.2072</v>
      </c>
      <c r="BJ30" t="s">
        <v>184</v>
      </c>
      <c r="BK30" s="13">
        <f>IF(BJ30="ano",AU30*C30,0)</f>
        <v>82.062399999999997</v>
      </c>
      <c r="BL30" t="s">
        <v>184</v>
      </c>
      <c r="BM30">
        <f>IF(BL30="ano",(AA30+AB30*2)*C30,0)</f>
        <v>132.74800000000002</v>
      </c>
    </row>
    <row r="31" spans="2:65" ht="15.75" x14ac:dyDescent="0.25">
      <c r="B31" s="84" t="s">
        <v>126</v>
      </c>
      <c r="C31" s="192">
        <v>25.97</v>
      </c>
      <c r="D31" s="236" t="s">
        <v>127</v>
      </c>
      <c r="F31" s="415">
        <f t="shared" si="1"/>
        <v>1</v>
      </c>
      <c r="G31" s="416">
        <f t="shared" si="2"/>
        <v>1.5</v>
      </c>
      <c r="H31" s="416"/>
      <c r="I31" s="416"/>
      <c r="J31" s="416"/>
      <c r="K31" s="416">
        <f t="shared" si="12"/>
        <v>0</v>
      </c>
      <c r="L31" s="72">
        <f>'Mezišachetní úsek'!H33</f>
        <v>0</v>
      </c>
      <c r="M31" s="72">
        <f>'Mezišachetní úsek'!I33</f>
        <v>0</v>
      </c>
      <c r="N31" s="72"/>
      <c r="O31" s="72"/>
      <c r="P31" s="416">
        <f t="shared" si="13"/>
        <v>0</v>
      </c>
      <c r="Q31" s="72">
        <f>'Mezišachetní úsek'!J33</f>
        <v>0</v>
      </c>
      <c r="R31" s="72">
        <f>'Mezišachetní úsek'!K33</f>
        <v>0</v>
      </c>
      <c r="S31" s="72">
        <f>'Mezišachetní úsek'!L33</f>
        <v>0</v>
      </c>
      <c r="T31" s="72">
        <f>'Mezišachetní úsek'!M33</f>
        <v>0</v>
      </c>
      <c r="U31" s="72">
        <f>'Mezišachetní úsek'!N33</f>
        <v>2</v>
      </c>
      <c r="V31" s="72">
        <f>'Mezišachetní úsek'!O33</f>
        <v>3</v>
      </c>
      <c r="W31" s="72">
        <f>'Mezišachetní úsek'!P33</f>
        <v>6</v>
      </c>
      <c r="X31" s="72">
        <f>'Mezišachetní úsek'!Q33</f>
        <v>162</v>
      </c>
      <c r="Y31" s="380"/>
      <c r="Z31" t="s">
        <v>184</v>
      </c>
      <c r="AA31">
        <f t="shared" si="3"/>
        <v>1.2</v>
      </c>
      <c r="AB31">
        <f t="shared" si="4"/>
        <v>1.6</v>
      </c>
      <c r="AC31" t="str">
        <f t="shared" si="5"/>
        <v>Š12-Š13</v>
      </c>
      <c r="AD31" s="395"/>
      <c r="AE31" s="396"/>
      <c r="AF31" s="397"/>
      <c r="AG31" s="398">
        <f>L31*0.055*0.055*3.14</f>
        <v>0</v>
      </c>
      <c r="AH31" s="399">
        <f>Q31*0.08*0.08*3.14</f>
        <v>0</v>
      </c>
      <c r="AI31" s="398">
        <f>W31*0.35*0.35</f>
        <v>0.73499999999999988</v>
      </c>
      <c r="AJ31" s="397"/>
      <c r="AK31" s="400">
        <f>AA31*AB31</f>
        <v>1.92</v>
      </c>
      <c r="AL31" s="34">
        <f t="shared" si="6"/>
        <v>0.73499999999999988</v>
      </c>
      <c r="AM31" s="34">
        <f>(AK31-AL31)*C31</f>
        <v>30.774450000000002</v>
      </c>
      <c r="AN31" s="235" t="s">
        <v>184</v>
      </c>
      <c r="AO31" s="34">
        <f>IF(AN31="ano",(2*AA31+0.3+2*AB31)*C31*1.2,0)</f>
        <v>183.86760000000001</v>
      </c>
      <c r="AP31" s="34" t="s">
        <v>249</v>
      </c>
      <c r="AQ31" s="34" t="str">
        <f>D31</f>
        <v>stezka</v>
      </c>
      <c r="AR31" s="34">
        <f>IF(AP31="ano",((AA31+0.2)*(AB31+0.1)-AA31*AB31)*C31,0)</f>
        <v>0</v>
      </c>
      <c r="AS31" s="34">
        <f>IF(AR31&gt;0.001,(AA31+2*AB31)*C31*1.25,0)</f>
        <v>0</v>
      </c>
      <c r="AT31" t="s">
        <v>184</v>
      </c>
      <c r="AU31" s="13">
        <f>IF(AT31="ano",AK31+$AU$20,0)</f>
        <v>2.7199999999999998</v>
      </c>
      <c r="AV31" s="34">
        <f>'[1]Mezišachetní úsek'!Y33</f>
        <v>0</v>
      </c>
      <c r="AW31" s="34">
        <f>IF(AT31="ano",AU31*C31*0.1,"není")</f>
        <v>7.063839999999999</v>
      </c>
      <c r="AX31" s="34">
        <f>'[1]Mezišachetní úsek'!AA33</f>
        <v>0</v>
      </c>
      <c r="AY31" s="34" t="s">
        <v>184</v>
      </c>
      <c r="AZ31" s="34">
        <f t="shared" si="7"/>
        <v>2.6199999999999997</v>
      </c>
      <c r="BA31" s="154" t="str">
        <f>B31</f>
        <v>Š12-Š13</v>
      </c>
      <c r="BD31" s="154" t="str">
        <f t="shared" si="8"/>
        <v>Š12-Š13</v>
      </c>
      <c r="BE31" s="13" t="str">
        <f t="shared" si="9"/>
        <v>ano</v>
      </c>
      <c r="BF31" s="13">
        <f>IF(BE31="ano",(2*AA31+0.3+2*AB31)*C31*1.2,0)</f>
        <v>183.86760000000001</v>
      </c>
      <c r="BG31" s="13"/>
      <c r="BH31" s="13" t="str">
        <f t="shared" si="10"/>
        <v>ano</v>
      </c>
      <c r="BI31" s="13">
        <f t="shared" si="11"/>
        <v>367.73520000000002</v>
      </c>
      <c r="BJ31" t="s">
        <v>184</v>
      </c>
      <c r="BK31" s="13">
        <f>IF(BJ31="ano",AU31*C31,0)</f>
        <v>70.63839999999999</v>
      </c>
      <c r="BL31" t="s">
        <v>184</v>
      </c>
      <c r="BM31">
        <f>IF(BL31="ano",(AA31+AB31*2)*C31,0)</f>
        <v>114.268</v>
      </c>
    </row>
    <row r="32" spans="2:65" ht="15.75" x14ac:dyDescent="0.25">
      <c r="B32" s="84" t="s">
        <v>225</v>
      </c>
      <c r="C32" s="192">
        <v>30.89</v>
      </c>
      <c r="D32" s="236" t="s">
        <v>127</v>
      </c>
      <c r="F32" s="415">
        <f t="shared" si="1"/>
        <v>1</v>
      </c>
      <c r="G32" s="416">
        <f t="shared" si="2"/>
        <v>1.5</v>
      </c>
      <c r="H32" s="416"/>
      <c r="I32" s="416"/>
      <c r="J32" s="416"/>
      <c r="K32" s="416">
        <f t="shared" si="12"/>
        <v>0</v>
      </c>
      <c r="L32" s="72">
        <f>'Mezišachetní úsek'!H34</f>
        <v>0</v>
      </c>
      <c r="M32" s="72">
        <f>'Mezišachetní úsek'!I34</f>
        <v>0</v>
      </c>
      <c r="N32" s="72"/>
      <c r="O32" s="72"/>
      <c r="P32" s="416">
        <f t="shared" si="13"/>
        <v>0</v>
      </c>
      <c r="Q32" s="72">
        <f>'Mezišachetní úsek'!J34</f>
        <v>0</v>
      </c>
      <c r="R32" s="72">
        <f>'Mezišachetní úsek'!K34</f>
        <v>0</v>
      </c>
      <c r="S32" s="72">
        <f>'Mezišachetní úsek'!L34</f>
        <v>0</v>
      </c>
      <c r="T32" s="72">
        <f>'Mezišachetní úsek'!M34</f>
        <v>0</v>
      </c>
      <c r="U32" s="72">
        <f>'Mezišachetní úsek'!N34</f>
        <v>2</v>
      </c>
      <c r="V32" s="72">
        <f>'Mezišachetní úsek'!O34</f>
        <v>3</v>
      </c>
      <c r="W32" s="72">
        <f>'Mezišachetní úsek'!P34</f>
        <v>6</v>
      </c>
      <c r="X32" s="72">
        <f>'Mezišachetní úsek'!Q34</f>
        <v>192</v>
      </c>
      <c r="Y32" s="380"/>
      <c r="Z32" t="s">
        <v>184</v>
      </c>
      <c r="AA32">
        <f t="shared" si="3"/>
        <v>1.2</v>
      </c>
      <c r="AB32">
        <f t="shared" si="4"/>
        <v>1.6</v>
      </c>
      <c r="AC32" t="str">
        <f t="shared" si="5"/>
        <v>Š13-Š14</v>
      </c>
      <c r="AD32" s="395"/>
      <c r="AE32" s="396"/>
      <c r="AF32" s="397"/>
      <c r="AG32" s="398">
        <f>L32*0.055*0.055*3.14</f>
        <v>0</v>
      </c>
      <c r="AH32" s="399">
        <f>Q32*0.08*0.08*3.14</f>
        <v>0</v>
      </c>
      <c r="AI32" s="398">
        <f>W32*0.35*0.35</f>
        <v>0.73499999999999988</v>
      </c>
      <c r="AJ32" s="397"/>
      <c r="AK32" s="400">
        <f>AA32*AB32</f>
        <v>1.92</v>
      </c>
      <c r="AL32" s="34">
        <f t="shared" si="6"/>
        <v>0.73499999999999988</v>
      </c>
      <c r="AM32" s="34">
        <f>(AK32-AL32)*C32</f>
        <v>36.604649999999999</v>
      </c>
      <c r="AN32" s="235" t="s">
        <v>184</v>
      </c>
      <c r="AO32" s="34">
        <f>IF(AN32="ano",(2*AA32+0.3+2*AB32)*C32*1.2,0)</f>
        <v>218.7012</v>
      </c>
      <c r="AP32" s="34" t="s">
        <v>249</v>
      </c>
      <c r="AQ32" s="34" t="str">
        <f>D32</f>
        <v>stezka</v>
      </c>
      <c r="AR32" s="34">
        <f>IF(AP32="ano",((AA32+0.2)*(AB32+0.1)-AA32*AB32)*C32,0)</f>
        <v>0</v>
      </c>
      <c r="AS32" s="34">
        <f>IF(AR32&gt;0.001,(AA32+2*AB32)*C32*1.25,0)</f>
        <v>0</v>
      </c>
      <c r="AT32" t="s">
        <v>184</v>
      </c>
      <c r="AU32" s="13">
        <f>IF(AT32="ano",AK32+$AU$20,0)</f>
        <v>2.7199999999999998</v>
      </c>
      <c r="AV32" s="34">
        <f>'[1]Mezišachetní úsek'!Y34</f>
        <v>0.2</v>
      </c>
      <c r="AW32" s="34">
        <f>IF(AT32="ano",AU32*C32*0.1,"není")</f>
        <v>8.4020799999999998</v>
      </c>
      <c r="AX32" s="34">
        <f>'[1]Mezišachetní úsek'!AA34</f>
        <v>2.2000000000000002</v>
      </c>
      <c r="AY32" s="34" t="s">
        <v>184</v>
      </c>
      <c r="AZ32" s="34">
        <f t="shared" si="7"/>
        <v>2.6199999999999997</v>
      </c>
      <c r="BA32" s="154" t="str">
        <f>B32</f>
        <v>Š13-Š14</v>
      </c>
      <c r="BD32" s="154" t="str">
        <f t="shared" si="8"/>
        <v>Š13-Š14</v>
      </c>
      <c r="BE32" s="13" t="str">
        <f t="shared" si="9"/>
        <v>ano</v>
      </c>
      <c r="BF32" s="13">
        <f>IF(BE32="ano",(2*AA32+0.3+2*AB32)*C32*1.2,0)</f>
        <v>218.7012</v>
      </c>
      <c r="BG32" s="13"/>
      <c r="BH32" s="13" t="str">
        <f t="shared" si="10"/>
        <v>ano</v>
      </c>
      <c r="BI32" s="13">
        <f t="shared" si="11"/>
        <v>437.4024</v>
      </c>
      <c r="BJ32" t="s">
        <v>184</v>
      </c>
      <c r="BK32" s="13">
        <f>IF(BJ32="ano",AU32*C32,0)</f>
        <v>84.020799999999994</v>
      </c>
      <c r="BL32" t="s">
        <v>184</v>
      </c>
      <c r="BM32">
        <f>IF(BL32="ano",(AA32+AB32*2)*C32,0)</f>
        <v>135.91600000000003</v>
      </c>
    </row>
    <row r="33" spans="2:65" ht="15.75" x14ac:dyDescent="0.25">
      <c r="B33" s="84" t="s">
        <v>226</v>
      </c>
      <c r="C33" s="214">
        <v>27.07</v>
      </c>
      <c r="D33" s="236" t="s">
        <v>127</v>
      </c>
      <c r="F33" s="415">
        <f t="shared" si="1"/>
        <v>1</v>
      </c>
      <c r="G33" s="416">
        <f t="shared" si="2"/>
        <v>1.5</v>
      </c>
      <c r="H33" s="416"/>
      <c r="I33" s="416"/>
      <c r="J33" s="416"/>
      <c r="K33" s="416">
        <f t="shared" si="12"/>
        <v>0</v>
      </c>
      <c r="L33" s="72">
        <f>'Mezišachetní úsek'!H35</f>
        <v>0</v>
      </c>
      <c r="M33" s="72">
        <f>'Mezišachetní úsek'!I35</f>
        <v>0</v>
      </c>
      <c r="N33" s="72"/>
      <c r="O33" s="72"/>
      <c r="P33" s="416">
        <f t="shared" si="13"/>
        <v>0</v>
      </c>
      <c r="Q33" s="72">
        <f>'Mezišachetní úsek'!J35</f>
        <v>0</v>
      </c>
      <c r="R33" s="72">
        <f>'Mezišachetní úsek'!K35</f>
        <v>0</v>
      </c>
      <c r="S33" s="72">
        <f>'Mezišachetní úsek'!L35</f>
        <v>0</v>
      </c>
      <c r="T33" s="72">
        <f>'Mezišachetní úsek'!M35</f>
        <v>0</v>
      </c>
      <c r="U33" s="72">
        <f>'Mezišachetní úsek'!N35</f>
        <v>2</v>
      </c>
      <c r="V33" s="72">
        <f>'Mezišachetní úsek'!O35</f>
        <v>3</v>
      </c>
      <c r="W33" s="72">
        <f>'Mezišachetní úsek'!P35</f>
        <v>6</v>
      </c>
      <c r="X33" s="72">
        <f>'Mezišachetní úsek'!Q35</f>
        <v>168</v>
      </c>
      <c r="Y33" s="380"/>
      <c r="Z33" t="s">
        <v>184</v>
      </c>
      <c r="AA33">
        <f t="shared" si="3"/>
        <v>1.2</v>
      </c>
      <c r="AB33">
        <f t="shared" si="4"/>
        <v>1.6</v>
      </c>
      <c r="AC33" t="str">
        <f t="shared" si="5"/>
        <v>Š14-Š15</v>
      </c>
      <c r="AD33" s="395"/>
      <c r="AE33" s="396"/>
      <c r="AF33" s="397"/>
      <c r="AG33" s="398">
        <f>L33*0.055*0.055*3.14</f>
        <v>0</v>
      </c>
      <c r="AH33" s="399">
        <f>Q33*0.08*0.08*3.14</f>
        <v>0</v>
      </c>
      <c r="AI33" s="398">
        <f>W33*0.35*0.35</f>
        <v>0.73499999999999988</v>
      </c>
      <c r="AJ33" s="397"/>
      <c r="AK33" s="400">
        <f>AA33*AB33</f>
        <v>1.92</v>
      </c>
      <c r="AL33" s="34">
        <f t="shared" si="6"/>
        <v>0.73499999999999988</v>
      </c>
      <c r="AM33" s="34">
        <f>(AK33-AL33)*C33</f>
        <v>32.077950000000001</v>
      </c>
      <c r="AN33" s="235" t="s">
        <v>184</v>
      </c>
      <c r="AO33" s="34">
        <f>IF(AN33="ano",(2*AA33+0.3+2*AB33)*C33*1.2,0)</f>
        <v>191.65560000000002</v>
      </c>
      <c r="AP33" s="34" t="s">
        <v>249</v>
      </c>
      <c r="AQ33" s="34" t="str">
        <f>D33</f>
        <v>stezka</v>
      </c>
      <c r="AR33" s="34">
        <f>IF(AP33="ano",((AA33+0.2)*(AB33+0.1)-AA33*AB33)*C33,0)</f>
        <v>0</v>
      </c>
      <c r="AS33" s="34">
        <f>IF(AR33&gt;0.001,(AA33+2*AB33)*C33*1.25,0)</f>
        <v>0</v>
      </c>
      <c r="AT33" t="s">
        <v>184</v>
      </c>
      <c r="AU33" s="13">
        <f>IF(AT33="ano",AK33+$AU$20,0)</f>
        <v>2.7199999999999998</v>
      </c>
      <c r="AV33" s="34">
        <f>'[1]Mezišachetní úsek'!Y35</f>
        <v>10.395000000000001</v>
      </c>
      <c r="AW33" s="34">
        <f>IF(AT33="ano",AU33*C33*0.1,"není")</f>
        <v>7.3630399999999998</v>
      </c>
      <c r="AX33" s="34">
        <f>'[1]Mezišachetní úsek'!AA35</f>
        <v>114.34500000000001</v>
      </c>
      <c r="AY33" s="34" t="s">
        <v>184</v>
      </c>
      <c r="AZ33" s="34">
        <f t="shared" si="7"/>
        <v>2.6199999999999997</v>
      </c>
      <c r="BA33" s="154" t="str">
        <f>B33</f>
        <v>Š14-Š15</v>
      </c>
      <c r="BD33" s="154" t="str">
        <f t="shared" si="8"/>
        <v>Š14-Š15</v>
      </c>
      <c r="BE33" s="13" t="str">
        <f t="shared" si="9"/>
        <v>ano</v>
      </c>
      <c r="BF33" s="13">
        <f>IF(BE33="ano",(2*AA33+0.3+2*AB33)*C33*1.2,0)</f>
        <v>191.65560000000002</v>
      </c>
      <c r="BG33" s="13"/>
      <c r="BH33" s="13" t="str">
        <f t="shared" si="10"/>
        <v>ano</v>
      </c>
      <c r="BI33" s="13">
        <f t="shared" si="11"/>
        <v>383.31120000000004</v>
      </c>
      <c r="BJ33" t="s">
        <v>184</v>
      </c>
      <c r="BK33" s="13">
        <f>IF(BJ33="ano",AU33*C33,0)</f>
        <v>73.630399999999995</v>
      </c>
      <c r="BL33" t="s">
        <v>184</v>
      </c>
      <c r="BM33">
        <f>IF(BL33="ano",(AA33+AB33*2)*C33,0)</f>
        <v>119.108</v>
      </c>
    </row>
    <row r="34" spans="2:65" s="396" customFormat="1" ht="15.75" x14ac:dyDescent="0.25">
      <c r="B34" s="84" t="s">
        <v>227</v>
      </c>
      <c r="C34" s="192">
        <v>18.03</v>
      </c>
      <c r="D34" s="236" t="s">
        <v>127</v>
      </c>
      <c r="F34" s="415">
        <f t="shared" si="1"/>
        <v>1</v>
      </c>
      <c r="G34" s="416">
        <f t="shared" si="2"/>
        <v>1.5</v>
      </c>
      <c r="H34" s="416"/>
      <c r="I34" s="416"/>
      <c r="J34" s="416"/>
      <c r="K34" s="416">
        <f t="shared" si="12"/>
        <v>0</v>
      </c>
      <c r="L34" s="72">
        <f>'Mezišachetní úsek'!H36</f>
        <v>0</v>
      </c>
      <c r="M34" s="72">
        <f>'Mezišachetní úsek'!I36</f>
        <v>0</v>
      </c>
      <c r="N34" s="72"/>
      <c r="O34" s="72"/>
      <c r="P34" s="416">
        <f t="shared" si="13"/>
        <v>0</v>
      </c>
      <c r="Q34" s="72">
        <f>'Mezišachetní úsek'!J36</f>
        <v>0</v>
      </c>
      <c r="R34" s="72">
        <f>'Mezišachetní úsek'!K36</f>
        <v>0</v>
      </c>
      <c r="S34" s="72">
        <f>'Mezišachetní úsek'!L36</f>
        <v>0</v>
      </c>
      <c r="T34" s="72">
        <f>'Mezišachetní úsek'!M36</f>
        <v>0</v>
      </c>
      <c r="U34" s="72">
        <f>'Mezišachetní úsek'!N36</f>
        <v>2</v>
      </c>
      <c r="V34" s="72">
        <f>'Mezišachetní úsek'!O36</f>
        <v>3</v>
      </c>
      <c r="W34" s="72">
        <f>'Mezišachetní úsek'!P36</f>
        <v>6</v>
      </c>
      <c r="X34" s="72">
        <f>'Mezišachetní úsek'!Q36</f>
        <v>114</v>
      </c>
      <c r="Y34" s="380"/>
      <c r="Z34" t="s">
        <v>184</v>
      </c>
      <c r="AA34">
        <f t="shared" si="3"/>
        <v>1.2</v>
      </c>
      <c r="AB34">
        <f t="shared" si="4"/>
        <v>1.6</v>
      </c>
      <c r="AC34" t="str">
        <f t="shared" si="5"/>
        <v>Š15-Š16</v>
      </c>
      <c r="AD34" s="395"/>
      <c r="AF34" s="397"/>
      <c r="AG34" s="398">
        <f>L34*0.055*0.055*3.14</f>
        <v>0</v>
      </c>
      <c r="AH34" s="399">
        <f>Q34*0.08*0.08*3.14</f>
        <v>0</v>
      </c>
      <c r="AI34" s="398">
        <f>W34*0.35*0.35</f>
        <v>0.73499999999999988</v>
      </c>
      <c r="AJ34" s="397"/>
      <c r="AK34" s="400">
        <f>AA34*AB34</f>
        <v>1.92</v>
      </c>
      <c r="AL34" s="34">
        <f t="shared" si="6"/>
        <v>0.73499999999999988</v>
      </c>
      <c r="AM34" s="34">
        <f>(AK34-AL34)*C34</f>
        <v>21.365550000000002</v>
      </c>
      <c r="AN34" s="235" t="s">
        <v>184</v>
      </c>
      <c r="AO34" s="34">
        <f>IF(AN34="ano",(2*AA34+0.3+2*AB34)*C34*1.2,0)</f>
        <v>127.6524</v>
      </c>
      <c r="AP34" s="34" t="s">
        <v>249</v>
      </c>
      <c r="AQ34" s="34" t="str">
        <f>D34</f>
        <v>stezka</v>
      </c>
      <c r="AR34" s="34">
        <f>IF(AP34="ano",((AA34+0.2)*(AB34+0.1)-AA34*AB34)*C34,0)</f>
        <v>0</v>
      </c>
      <c r="AS34" s="34">
        <f>IF(AR34&gt;0.001,(AA34+2*AB34)*C34*1.25,0)</f>
        <v>0</v>
      </c>
      <c r="AT34" s="396" t="s">
        <v>184</v>
      </c>
      <c r="AU34" s="13">
        <f>IF(AT34="ano",AK34+$AU$20,0)</f>
        <v>2.7199999999999998</v>
      </c>
      <c r="AV34" s="34">
        <f>'[1]Mezišachetní úsek'!Y36</f>
        <v>0</v>
      </c>
      <c r="AW34" s="34">
        <f>IF(AT34="ano",AU34*C34*0.1,"není")</f>
        <v>4.9041600000000001</v>
      </c>
      <c r="AX34" s="34">
        <f>'[1]Mezišachetní úsek'!AA36</f>
        <v>0</v>
      </c>
      <c r="AY34" s="34" t="s">
        <v>184</v>
      </c>
      <c r="AZ34" s="34">
        <f t="shared" si="7"/>
        <v>2.6199999999999997</v>
      </c>
      <c r="BA34" s="154" t="str">
        <f>B34</f>
        <v>Š15-Š16</v>
      </c>
      <c r="BD34" s="154" t="str">
        <f t="shared" si="8"/>
        <v>Š15-Š16</v>
      </c>
      <c r="BE34" s="13" t="str">
        <f t="shared" si="9"/>
        <v>ano</v>
      </c>
      <c r="BF34" s="13">
        <f>IF(BE34="ano",(2*AA34+0.3+2*AB34)*C34*1.2,0)</f>
        <v>127.6524</v>
      </c>
      <c r="BG34" s="13"/>
      <c r="BH34" s="13" t="str">
        <f t="shared" si="10"/>
        <v>ano</v>
      </c>
      <c r="BI34" s="13">
        <f t="shared" si="11"/>
        <v>255.3048</v>
      </c>
      <c r="BJ34" t="s">
        <v>184</v>
      </c>
      <c r="BK34" s="13">
        <f>IF(BJ34="ano",AU34*C34,0)</f>
        <v>49.041599999999995</v>
      </c>
      <c r="BL34" t="s">
        <v>184</v>
      </c>
      <c r="BM34">
        <f>IF(BL34="ano",(AA34+AB34*2)*C34,0)</f>
        <v>79.332000000000008</v>
      </c>
    </row>
    <row r="35" spans="2:65" ht="15.75" x14ac:dyDescent="0.25">
      <c r="B35" s="303" t="s">
        <v>228</v>
      </c>
      <c r="C35" s="192">
        <v>6.03</v>
      </c>
      <c r="D35" s="237" t="s">
        <v>189</v>
      </c>
      <c r="F35" s="415">
        <f t="shared" si="1"/>
        <v>1</v>
      </c>
      <c r="G35" s="416">
        <f t="shared" si="2"/>
        <v>1</v>
      </c>
      <c r="H35" s="416"/>
      <c r="I35" s="416"/>
      <c r="J35" s="416"/>
      <c r="K35" s="416">
        <f t="shared" si="12"/>
        <v>0</v>
      </c>
      <c r="L35" s="72">
        <f>'Mezišachetní úsek'!H37</f>
        <v>0</v>
      </c>
      <c r="M35" s="72">
        <f>'Mezišachetní úsek'!I37</f>
        <v>0</v>
      </c>
      <c r="N35" s="72"/>
      <c r="O35" s="72"/>
      <c r="P35" s="416">
        <f t="shared" si="13"/>
        <v>0</v>
      </c>
      <c r="Q35" s="72">
        <f>'Mezišachetní úsek'!J37</f>
        <v>0</v>
      </c>
      <c r="R35" s="72">
        <f>'Mezišachetní úsek'!K37</f>
        <v>0</v>
      </c>
      <c r="S35" s="72">
        <f>'Mezišachetní úsek'!L37</f>
        <v>0</v>
      </c>
      <c r="T35" s="72">
        <f>'Mezišachetní úsek'!M37</f>
        <v>0</v>
      </c>
      <c r="U35" s="72">
        <f>'Mezišachetní úsek'!N37</f>
        <v>2</v>
      </c>
      <c r="V35" s="72">
        <f>'Mezišachetní úsek'!O37</f>
        <v>2</v>
      </c>
      <c r="W35" s="72">
        <f>'Mezišachetní úsek'!P37</f>
        <v>4</v>
      </c>
      <c r="X35" s="72">
        <f>'Mezišachetní úsek'!Q37</f>
        <v>28</v>
      </c>
      <c r="Y35" s="380"/>
      <c r="Z35" t="s">
        <v>184</v>
      </c>
      <c r="AA35">
        <f t="shared" si="3"/>
        <v>1.2</v>
      </c>
      <c r="AB35">
        <f t="shared" si="4"/>
        <v>1.1000000000000001</v>
      </c>
      <c r="AC35" t="str">
        <f t="shared" si="5"/>
        <v>Š16-Š17</v>
      </c>
      <c r="AD35" s="395"/>
      <c r="AE35" s="396"/>
      <c r="AF35" s="397"/>
      <c r="AG35" s="398">
        <f>L35*0.055*0.055*3.14</f>
        <v>0</v>
      </c>
      <c r="AH35" s="399">
        <f>Q35*0.08*0.08*3.14</f>
        <v>0</v>
      </c>
      <c r="AI35" s="398">
        <f>W35*0.35*0.35</f>
        <v>0.48999999999999994</v>
      </c>
      <c r="AJ35" s="397"/>
      <c r="AK35" s="400">
        <f>AA35*AB35</f>
        <v>1.32</v>
      </c>
      <c r="AL35" s="34">
        <f t="shared" si="6"/>
        <v>0.48999999999999994</v>
      </c>
      <c r="AM35" s="34">
        <f>(AK35-AL35)*C35</f>
        <v>5.004900000000001</v>
      </c>
      <c r="AN35" s="235" t="s">
        <v>184</v>
      </c>
      <c r="AO35" s="34">
        <f>IF(AN35="ano",(2*AA35+0.3+2*AB35)*C35*1.2,0)</f>
        <v>35.456400000000002</v>
      </c>
      <c r="AP35" s="34" t="s">
        <v>249</v>
      </c>
      <c r="AQ35" s="34" t="str">
        <f>D35</f>
        <v>nástupiště</v>
      </c>
      <c r="AR35" s="34">
        <f>IF(AP35="ano",((AA35+0.2)*(AB35+0.1)-AA35*AB35)*C35,0)</f>
        <v>0</v>
      </c>
      <c r="AS35" s="34">
        <f>IF(AR35&gt;0.001,(AA35+2*AB35)*C35*1.25,0)</f>
        <v>0</v>
      </c>
      <c r="AT35" t="s">
        <v>184</v>
      </c>
      <c r="AU35" s="13">
        <f>IF(AT35="ano",AK35+$AU$20,0)</f>
        <v>2.12</v>
      </c>
      <c r="AV35" s="34">
        <f>'[1]Mezišachetní úsek'!Y37</f>
        <v>10.43</v>
      </c>
      <c r="AW35" s="34">
        <f>IF(AT35="ano",AU35*C35*0.1,"není")</f>
        <v>1.2783600000000002</v>
      </c>
      <c r="AX35" s="34">
        <f>'[1]Mezišachetní úsek'!AA37</f>
        <v>114.73</v>
      </c>
      <c r="AY35" s="34" t="s">
        <v>184</v>
      </c>
      <c r="AZ35" s="34">
        <f t="shared" si="7"/>
        <v>2.02</v>
      </c>
      <c r="BA35" s="154" t="str">
        <f>B35</f>
        <v>Š16-Š17</v>
      </c>
      <c r="BD35" s="154" t="str">
        <f t="shared" si="8"/>
        <v>Š16-Š17</v>
      </c>
      <c r="BE35" s="13" t="str">
        <f t="shared" si="9"/>
        <v>ano</v>
      </c>
      <c r="BF35" s="13">
        <f>IF(BE35="ano",(2*AA35+0.3+2*AB35)*C35*1.2,0)</f>
        <v>35.456400000000002</v>
      </c>
      <c r="BG35" s="13"/>
      <c r="BH35" s="13" t="str">
        <f t="shared" si="10"/>
        <v>ano</v>
      </c>
      <c r="BI35" s="13">
        <f t="shared" si="11"/>
        <v>70.912800000000004</v>
      </c>
      <c r="BJ35" t="s">
        <v>184</v>
      </c>
      <c r="BK35" s="13">
        <f>IF(BJ35="ano",AU35*C35,0)</f>
        <v>12.783600000000002</v>
      </c>
      <c r="BL35" t="s">
        <v>184</v>
      </c>
      <c r="BM35">
        <f>IF(BL35="ano",(AA35+AB35*2)*C35,0)</f>
        <v>20.502000000000002</v>
      </c>
    </row>
    <row r="36" spans="2:65" ht="15.75" x14ac:dyDescent="0.25">
      <c r="B36" s="302" t="s">
        <v>296</v>
      </c>
      <c r="C36" s="192">
        <v>21</v>
      </c>
      <c r="D36" s="237" t="s">
        <v>189</v>
      </c>
      <c r="F36" s="415">
        <f t="shared" si="1"/>
        <v>0.5</v>
      </c>
      <c r="G36" s="416">
        <f t="shared" si="2"/>
        <v>1</v>
      </c>
      <c r="H36" s="416"/>
      <c r="I36" s="416"/>
      <c r="J36" s="416"/>
      <c r="K36" s="416">
        <f t="shared" si="12"/>
        <v>0</v>
      </c>
      <c r="L36" s="72">
        <f>'Mezišachetní úsek'!H38</f>
        <v>0</v>
      </c>
      <c r="M36" s="72">
        <f>'Mezišachetní úsek'!I38</f>
        <v>0</v>
      </c>
      <c r="N36" s="72"/>
      <c r="O36" s="72"/>
      <c r="P36" s="416">
        <f t="shared" si="13"/>
        <v>0</v>
      </c>
      <c r="Q36" s="72">
        <f>'Mezišachetní úsek'!J38</f>
        <v>0</v>
      </c>
      <c r="R36" s="72">
        <f>'Mezišachetní úsek'!K38</f>
        <v>0</v>
      </c>
      <c r="S36" s="72">
        <f>'Mezišachetní úsek'!L38</f>
        <v>0</v>
      </c>
      <c r="T36" s="72">
        <f>'Mezišachetní úsek'!M38</f>
        <v>0</v>
      </c>
      <c r="U36" s="72">
        <f>'Mezišachetní úsek'!N38</f>
        <v>1</v>
      </c>
      <c r="V36" s="72">
        <f>'Mezišachetní úsek'!O38</f>
        <v>2</v>
      </c>
      <c r="W36" s="72">
        <f>'Mezišachetní úsek'!P38</f>
        <v>2</v>
      </c>
      <c r="X36" s="72">
        <f>'Mezišachetní úsek'!Q38</f>
        <v>44</v>
      </c>
      <c r="Y36" s="380"/>
      <c r="Z36" t="s">
        <v>184</v>
      </c>
      <c r="AA36">
        <f t="shared" si="3"/>
        <v>0.7</v>
      </c>
      <c r="AB36">
        <f t="shared" si="4"/>
        <v>1.1000000000000001</v>
      </c>
      <c r="AC36" t="str">
        <f t="shared" si="5"/>
        <v>Š17-Š17a</v>
      </c>
      <c r="AD36" s="395"/>
      <c r="AE36" s="396"/>
      <c r="AF36" s="397"/>
      <c r="AG36" s="398">
        <f>L36*0.055*0.055*3.14</f>
        <v>0</v>
      </c>
      <c r="AH36" s="399">
        <f>Q36*0.08*0.08*3.14</f>
        <v>0</v>
      </c>
      <c r="AI36" s="398">
        <f>W36*0.35*0.35</f>
        <v>0.24499999999999997</v>
      </c>
      <c r="AJ36" s="397"/>
      <c r="AK36" s="400">
        <f>AA36*AB36</f>
        <v>0.77</v>
      </c>
      <c r="AL36" s="34">
        <f t="shared" si="6"/>
        <v>0.24499999999999997</v>
      </c>
      <c r="AM36" s="34">
        <f>(AK36-AL36)*C36</f>
        <v>11.025</v>
      </c>
      <c r="AN36" s="235" t="s">
        <v>183</v>
      </c>
      <c r="AO36" s="34">
        <f>IF(AN36="ano",(2*AA36+0.3+2*AB36)*C36*1.2,0)</f>
        <v>0</v>
      </c>
      <c r="AP36" s="34" t="s">
        <v>249</v>
      </c>
      <c r="AQ36" s="34" t="str">
        <f>D36</f>
        <v>nástupiště</v>
      </c>
      <c r="AR36" s="34">
        <f>IF(AP36="ano",((AA36+0.2)*(AB36+0.1)-AA36*AB36)*C36,0)</f>
        <v>0</v>
      </c>
      <c r="AS36" s="34">
        <f>IF(AR36&gt;0.001,(AA36+2*AB36)*C36*1.25,0)</f>
        <v>0</v>
      </c>
      <c r="AT36" t="s">
        <v>184</v>
      </c>
      <c r="AU36" s="13">
        <f>IF(AT36="ano",AK36+$AU$20,0)</f>
        <v>1.57</v>
      </c>
      <c r="AV36" s="34">
        <f>'[1]Mezišachetní úsek'!Y38</f>
        <v>0.2</v>
      </c>
      <c r="AW36" s="34">
        <f>IF(AT36="ano",AU36*C36*0.1,"není")</f>
        <v>3.2970000000000002</v>
      </c>
      <c r="AX36" s="34">
        <f>'[1]Mezišachetní úsek'!AA38</f>
        <v>2.2000000000000002</v>
      </c>
      <c r="AY36" s="34"/>
      <c r="AZ36" s="34">
        <f t="shared" si="7"/>
        <v>0</v>
      </c>
      <c r="BA36" s="154" t="str">
        <f>B36</f>
        <v>Š17-Š17a</v>
      </c>
      <c r="BD36" s="154" t="str">
        <f t="shared" si="8"/>
        <v>Š17-Š17a</v>
      </c>
      <c r="BE36" s="13" t="str">
        <f t="shared" si="9"/>
        <v>nebude</v>
      </c>
      <c r="BF36" s="13">
        <f>IF(BE36="ano",(2*AA36+0.3+2*AB36)*C36*1.2,0)</f>
        <v>0</v>
      </c>
      <c r="BG36" s="13"/>
      <c r="BH36" s="13" t="str">
        <f t="shared" si="10"/>
        <v>nebude</v>
      </c>
      <c r="BI36" s="13">
        <f t="shared" si="11"/>
        <v>0</v>
      </c>
      <c r="BK36" s="13">
        <f>IF(BJ36="ano",AU36*C36,0)</f>
        <v>0</v>
      </c>
      <c r="BM36">
        <f>IF(BL36="ano",(AA36+AB36*2)*C36,0)</f>
        <v>0</v>
      </c>
    </row>
    <row r="37" spans="2:65" ht="15.75" x14ac:dyDescent="0.25">
      <c r="B37" s="84" t="s">
        <v>231</v>
      </c>
      <c r="C37" s="192">
        <v>8.75</v>
      </c>
      <c r="D37" s="237" t="s">
        <v>189</v>
      </c>
      <c r="F37" s="415">
        <f t="shared" si="1"/>
        <v>0.52499999999999991</v>
      </c>
      <c r="G37" s="416">
        <f t="shared" si="2"/>
        <v>1.0499999999999998</v>
      </c>
      <c r="H37" s="416"/>
      <c r="I37" s="416">
        <v>3</v>
      </c>
      <c r="J37" s="416">
        <v>6</v>
      </c>
      <c r="K37" s="416">
        <f t="shared" si="12"/>
        <v>0</v>
      </c>
      <c r="L37" s="72">
        <f>'Mezišachetní úsek'!H39</f>
        <v>18</v>
      </c>
      <c r="M37" s="72">
        <f>'Mezišachetní úsek'!I39</f>
        <v>0</v>
      </c>
      <c r="N37" s="72"/>
      <c r="O37" s="72"/>
      <c r="P37" s="416">
        <f t="shared" si="13"/>
        <v>0</v>
      </c>
      <c r="Q37" s="72">
        <f>'Mezišachetní úsek'!J39</f>
        <v>0</v>
      </c>
      <c r="R37" s="72">
        <f>'Mezišachetní úsek'!K39</f>
        <v>0</v>
      </c>
      <c r="S37" s="72">
        <f>'Mezišachetní úsek'!L39</f>
        <v>0</v>
      </c>
      <c r="T37" s="72">
        <f>'Mezišachetní úsek'!M39</f>
        <v>0</v>
      </c>
      <c r="U37" s="72">
        <f>'Mezišachetní úsek'!N39</f>
        <v>0</v>
      </c>
      <c r="V37" s="72">
        <f>'Mezišachetní úsek'!O39</f>
        <v>0</v>
      </c>
      <c r="W37" s="72">
        <f>'Mezišachetní úsek'!P39</f>
        <v>0</v>
      </c>
      <c r="X37" s="72">
        <f>'Mezišachetní úsek'!Q39</f>
        <v>0</v>
      </c>
      <c r="Y37" s="380"/>
      <c r="Z37" t="s">
        <v>184</v>
      </c>
      <c r="AA37">
        <f t="shared" si="3"/>
        <v>0.72499999999999987</v>
      </c>
      <c r="AB37">
        <f t="shared" si="4"/>
        <v>1.1499999999999999</v>
      </c>
      <c r="AC37" t="str">
        <f t="shared" si="5"/>
        <v>Š17-nástupiště</v>
      </c>
      <c r="AD37" s="395"/>
      <c r="AE37" s="396"/>
      <c r="AF37" s="397"/>
      <c r="AG37" s="398">
        <f>L37*0.055*0.055*3.14</f>
        <v>0.17097300000000001</v>
      </c>
      <c r="AH37" s="399">
        <f>Q37*0.08*0.08*3.14</f>
        <v>0</v>
      </c>
      <c r="AI37" s="398">
        <f>W37*0.35*0.35</f>
        <v>0</v>
      </c>
      <c r="AJ37" s="397"/>
      <c r="AK37" s="400">
        <f>AA37*AB37</f>
        <v>0.83374999999999977</v>
      </c>
      <c r="AL37" s="34">
        <f t="shared" si="6"/>
        <v>0.17097300000000001</v>
      </c>
      <c r="AM37" s="34">
        <f>(AK37-AL37)*C37</f>
        <v>5.7992987499999975</v>
      </c>
      <c r="AN37" s="235" t="s">
        <v>183</v>
      </c>
      <c r="AO37" s="34">
        <f>IF(AN37="ano",(2*AA37+0.3+2*AB37)*C37*1.2,0)</f>
        <v>0</v>
      </c>
      <c r="AP37" s="34" t="s">
        <v>249</v>
      </c>
      <c r="AQ37" s="34" t="str">
        <f>D37</f>
        <v>nástupiště</v>
      </c>
      <c r="AR37" s="34">
        <f>IF(AP37="ano",((AA37+0.2)*(AB37+0.1)-AA37*AB37)*C37,0)</f>
        <v>0</v>
      </c>
      <c r="AS37" s="34">
        <f>IF(AR37&gt;0.001,(AA37+2*AB37)*C37*1.25,0)</f>
        <v>0</v>
      </c>
      <c r="AT37" t="s">
        <v>184</v>
      </c>
      <c r="AU37" s="13">
        <f>IF(AT37="ano",AK37+$AU$20,0)</f>
        <v>1.6337499999999998</v>
      </c>
      <c r="AV37" s="34">
        <f>'[1]Mezišachetní úsek'!Y39</f>
        <v>10.08</v>
      </c>
      <c r="AW37" s="34">
        <f>IF(AT37="ano",AU37*C37*0.1,"není")</f>
        <v>1.4295312499999999</v>
      </c>
      <c r="AX37" s="34">
        <f>'[1]Mezišachetní úsek'!AA39</f>
        <v>110.88000000000001</v>
      </c>
      <c r="AY37" s="34"/>
      <c r="AZ37" s="34">
        <f t="shared" si="7"/>
        <v>0</v>
      </c>
      <c r="BA37" s="154" t="str">
        <f>B37</f>
        <v>Š17-nástupiště</v>
      </c>
      <c r="BD37" s="154" t="str">
        <f t="shared" si="8"/>
        <v>Š17-nástupiště</v>
      </c>
      <c r="BE37" s="13" t="str">
        <f t="shared" si="9"/>
        <v>nebude</v>
      </c>
      <c r="BF37" s="13">
        <f>IF(BE37="ano",(2*AA37+0.3+2*AB37)*C37*1.2,0)</f>
        <v>0</v>
      </c>
      <c r="BG37" s="13"/>
      <c r="BH37" s="13" t="str">
        <f t="shared" si="10"/>
        <v>nebude</v>
      </c>
      <c r="BI37" s="13">
        <f t="shared" si="11"/>
        <v>0</v>
      </c>
      <c r="BK37" s="13">
        <f>IF(BJ37="ano",AU37*C37,0)</f>
        <v>0</v>
      </c>
      <c r="BM37">
        <f>IF(BL37="ano",(AA37+AB37*2)*C37,0)</f>
        <v>0</v>
      </c>
    </row>
    <row r="38" spans="2:65" ht="15.75" x14ac:dyDescent="0.25">
      <c r="B38" s="84" t="s">
        <v>159</v>
      </c>
      <c r="C38" s="192">
        <v>9.4499999999999993</v>
      </c>
      <c r="D38" s="237" t="s">
        <v>189</v>
      </c>
      <c r="F38" s="415">
        <f t="shared" si="1"/>
        <v>0.5</v>
      </c>
      <c r="G38" s="416">
        <f t="shared" si="2"/>
        <v>1</v>
      </c>
      <c r="H38" s="416"/>
      <c r="I38" s="416"/>
      <c r="J38" s="416"/>
      <c r="K38" s="416">
        <f t="shared" si="12"/>
        <v>0</v>
      </c>
      <c r="L38" s="72">
        <f>'Mezišachetní úsek'!H40</f>
        <v>0</v>
      </c>
      <c r="M38" s="72">
        <f>'Mezišachetní úsek'!I40</f>
        <v>0</v>
      </c>
      <c r="N38" s="72"/>
      <c r="O38" s="72"/>
      <c r="P38" s="416">
        <f t="shared" si="13"/>
        <v>0</v>
      </c>
      <c r="Q38" s="72">
        <f>'Mezišachetní úsek'!J40</f>
        <v>0</v>
      </c>
      <c r="R38" s="72">
        <f>'Mezišachetní úsek'!K40</f>
        <v>0</v>
      </c>
      <c r="S38" s="72">
        <f>'Mezišachetní úsek'!L40</f>
        <v>0</v>
      </c>
      <c r="T38" s="72">
        <f>'Mezišachetní úsek'!M40</f>
        <v>0</v>
      </c>
      <c r="U38" s="72">
        <f>'Mezišachetní úsek'!N40</f>
        <v>1</v>
      </c>
      <c r="V38" s="72">
        <f>'Mezišachetní úsek'!O40</f>
        <v>2</v>
      </c>
      <c r="W38" s="72">
        <f>'Mezišachetní úsek'!P40</f>
        <v>2</v>
      </c>
      <c r="X38" s="72">
        <f>'Mezišachetní úsek'!Q40</f>
        <v>22</v>
      </c>
      <c r="Y38" s="380"/>
      <c r="Z38" t="s">
        <v>184</v>
      </c>
      <c r="AA38">
        <f t="shared" si="3"/>
        <v>0.7</v>
      </c>
      <c r="AB38">
        <f t="shared" si="4"/>
        <v>1.1000000000000001</v>
      </c>
      <c r="AC38" t="str">
        <f t="shared" si="5"/>
        <v>Š17-Š18</v>
      </c>
      <c r="AD38" s="395"/>
      <c r="AE38" s="396"/>
      <c r="AF38" s="397"/>
      <c r="AG38" s="398">
        <f>L38*0.055*0.055*3.14</f>
        <v>0</v>
      </c>
      <c r="AH38" s="399">
        <f>Q38*0.08*0.08*3.14</f>
        <v>0</v>
      </c>
      <c r="AI38" s="398">
        <f>W38*0.35*0.35</f>
        <v>0.24499999999999997</v>
      </c>
      <c r="AJ38" s="397"/>
      <c r="AK38" s="400">
        <f>AA38*AB38</f>
        <v>0.77</v>
      </c>
      <c r="AL38" s="34">
        <f t="shared" si="6"/>
        <v>0.24499999999999997</v>
      </c>
      <c r="AM38" s="34">
        <f>(AK38-AL38)*C38</f>
        <v>4.9612499999999997</v>
      </c>
      <c r="AN38" s="235" t="s">
        <v>184</v>
      </c>
      <c r="AO38" s="34">
        <f>IF(AN38="ano",(2*AA38+0.3+2*AB38)*C38*1.2,0)</f>
        <v>44.226000000000006</v>
      </c>
      <c r="AP38" s="34" t="s">
        <v>249</v>
      </c>
      <c r="AQ38" s="34" t="str">
        <f>D38</f>
        <v>nástupiště</v>
      </c>
      <c r="AR38" s="34">
        <f>IF(AP38="ano",((AA38+0.2)*(AB38+0.1)-AA38*AB38)*C38,0)</f>
        <v>0</v>
      </c>
      <c r="AS38" s="34">
        <f>IF(AR38&gt;0.001,(AA38+2*AB38)*C38*1.25,0)</f>
        <v>0</v>
      </c>
      <c r="AT38" t="s">
        <v>184</v>
      </c>
      <c r="AU38" s="13">
        <f>IF(AT38="ano",AK38+$AU$20,0)</f>
        <v>1.57</v>
      </c>
      <c r="AV38" s="34">
        <f>'[1]Mezišachetní úsek'!Y40</f>
        <v>0.2</v>
      </c>
      <c r="AW38" s="34">
        <f>IF(AT38="ano",AU38*C38*0.1,"není")</f>
        <v>1.4836499999999999</v>
      </c>
      <c r="AX38" s="34">
        <f>'[1]Mezišachetní úsek'!AA40</f>
        <v>2.2000000000000002</v>
      </c>
      <c r="AY38" s="34"/>
      <c r="AZ38" s="34">
        <f t="shared" si="7"/>
        <v>0</v>
      </c>
      <c r="BA38" s="154" t="str">
        <f>B38</f>
        <v>Š17-Š18</v>
      </c>
      <c r="BD38" s="154" t="str">
        <f t="shared" si="8"/>
        <v>Š17-Š18</v>
      </c>
      <c r="BE38" s="13" t="str">
        <f t="shared" si="9"/>
        <v>ano</v>
      </c>
      <c r="BF38" s="13">
        <f>IF(BE38="ano",(2*AA38+0.3+2*AB38)*C38*1.2,0)</f>
        <v>44.226000000000006</v>
      </c>
      <c r="BG38" s="13"/>
      <c r="BH38" s="13" t="str">
        <f t="shared" si="10"/>
        <v>ano</v>
      </c>
      <c r="BI38" s="13">
        <f t="shared" si="11"/>
        <v>88.452000000000012</v>
      </c>
      <c r="BK38" s="13">
        <f>IF(BJ38="ano",AU38*C38,0)</f>
        <v>0</v>
      </c>
      <c r="BL38" t="s">
        <v>184</v>
      </c>
      <c r="BM38">
        <f>IF(BL38="ano",(AA38+AB38*2)*C38,0)</f>
        <v>27.405000000000001</v>
      </c>
    </row>
    <row r="39" spans="2:65" ht="15.75" x14ac:dyDescent="0.25">
      <c r="B39" s="84" t="s">
        <v>232</v>
      </c>
      <c r="C39" s="192">
        <v>4.3</v>
      </c>
      <c r="D39" s="237" t="s">
        <v>189</v>
      </c>
      <c r="F39" s="415">
        <f t="shared" si="1"/>
        <v>0.52499999999999991</v>
      </c>
      <c r="G39" s="416">
        <f t="shared" si="2"/>
        <v>0.52499999999999991</v>
      </c>
      <c r="H39" s="416"/>
      <c r="I39" s="416">
        <v>3</v>
      </c>
      <c r="J39" s="416">
        <v>3</v>
      </c>
      <c r="K39" s="416">
        <f t="shared" si="12"/>
        <v>0</v>
      </c>
      <c r="L39" s="72">
        <f>'Mezišachetní úsek'!H41</f>
        <v>9</v>
      </c>
      <c r="M39" s="72">
        <f>'Mezišachetní úsek'!I41</f>
        <v>45</v>
      </c>
      <c r="N39" s="72"/>
      <c r="O39" s="72"/>
      <c r="P39" s="416">
        <f t="shared" si="13"/>
        <v>0</v>
      </c>
      <c r="Q39" s="72">
        <f>'Mezišachetní úsek'!J41</f>
        <v>0</v>
      </c>
      <c r="R39" s="72">
        <f>'Mezišachetní úsek'!K41</f>
        <v>0</v>
      </c>
      <c r="S39" s="72">
        <f>'Mezišachetní úsek'!L41</f>
        <v>0</v>
      </c>
      <c r="T39" s="72">
        <f>'Mezišachetní úsek'!M41</f>
        <v>0</v>
      </c>
      <c r="U39" s="72">
        <f>'Mezišachetní úsek'!N41</f>
        <v>0</v>
      </c>
      <c r="V39" s="72">
        <f>'Mezišachetní úsek'!O41</f>
        <v>0</v>
      </c>
      <c r="W39" s="72">
        <f>'Mezišachetní úsek'!P41</f>
        <v>0</v>
      </c>
      <c r="X39" s="72">
        <f>'Mezišachetní úsek'!Q41</f>
        <v>0</v>
      </c>
      <c r="Y39" s="380"/>
      <c r="Z39" t="s">
        <v>184</v>
      </c>
      <c r="AA39">
        <f t="shared" si="3"/>
        <v>0.72499999999999987</v>
      </c>
      <c r="AB39">
        <f t="shared" si="4"/>
        <v>0.62499999999999989</v>
      </c>
      <c r="AC39" t="str">
        <f t="shared" si="5"/>
        <v>Š18-nástupiště</v>
      </c>
      <c r="AD39" s="395"/>
      <c r="AE39" s="396"/>
      <c r="AF39" s="397"/>
      <c r="AG39" s="398">
        <f>L39*0.055*0.055*3.14</f>
        <v>8.5486500000000007E-2</v>
      </c>
      <c r="AH39" s="399">
        <f>Q39*0.08*0.08*3.14</f>
        <v>0</v>
      </c>
      <c r="AI39" s="398">
        <f>W39*0.35*0.35</f>
        <v>0</v>
      </c>
      <c r="AJ39" s="397"/>
      <c r="AK39" s="400">
        <f>AA39*AB39</f>
        <v>0.45312499999999983</v>
      </c>
      <c r="AL39" s="34">
        <f t="shared" si="6"/>
        <v>8.5486500000000007E-2</v>
      </c>
      <c r="AM39" s="34">
        <f>(AK39-AL39)*C39</f>
        <v>1.5808455499999992</v>
      </c>
      <c r="AN39" s="235" t="s">
        <v>183</v>
      </c>
      <c r="AO39" s="34">
        <f>IF(AN39="ano",(2*AA39+0.3+2*AB39)*C39*1.2,0)</f>
        <v>0</v>
      </c>
      <c r="AP39" s="34" t="s">
        <v>249</v>
      </c>
      <c r="AQ39" s="34" t="str">
        <f>D39</f>
        <v>nástupiště</v>
      </c>
      <c r="AR39" s="34">
        <f>IF(AP39="ano",((AA39+0.2)*(AB39+0.1)-AA39*AB39)*C39,0)</f>
        <v>0</v>
      </c>
      <c r="AS39" s="34">
        <f>IF(AR39&gt;0.001,(AA39+2*AB39)*C39*1.25,0)</f>
        <v>0</v>
      </c>
      <c r="AT39" t="s">
        <v>184</v>
      </c>
      <c r="AU39" s="13">
        <f>IF(AT39="ano",AK39+$AU$20,0)</f>
        <v>1.2531249999999998</v>
      </c>
      <c r="AV39" s="34">
        <f>'[1]Mezišachetní úsek'!Y41</f>
        <v>10.08</v>
      </c>
      <c r="AW39" s="34">
        <f>IF(AT39="ano",AU39*C39*0.1,"není")</f>
        <v>0.53884374999999995</v>
      </c>
      <c r="AX39" s="34">
        <f>'[1]Mezišachetní úsek'!AA41</f>
        <v>110.88000000000001</v>
      </c>
      <c r="AY39" s="34"/>
      <c r="AZ39" s="34">
        <f t="shared" si="7"/>
        <v>0</v>
      </c>
      <c r="BA39" s="154" t="str">
        <f>B39</f>
        <v>Š18-nástupiště</v>
      </c>
      <c r="BD39" s="154" t="str">
        <f t="shared" si="8"/>
        <v>Š18-nástupiště</v>
      </c>
      <c r="BE39" s="13" t="str">
        <f t="shared" si="9"/>
        <v>nebude</v>
      </c>
      <c r="BF39" s="13">
        <f>IF(BE39="ano",(2*AA39+0.3+2*AB39)*C39*1.2,0)</f>
        <v>0</v>
      </c>
      <c r="BG39" s="13"/>
      <c r="BH39" s="13" t="str">
        <f t="shared" si="10"/>
        <v>nebude</v>
      </c>
      <c r="BI39" s="13">
        <f t="shared" si="11"/>
        <v>0</v>
      </c>
      <c r="BK39" s="13">
        <f>IF(BJ39="ano",AU39*C39,0)</f>
        <v>0</v>
      </c>
      <c r="BM39">
        <f>IF(BL39="ano",(AA39+AB39*2)*C39,0)</f>
        <v>0</v>
      </c>
    </row>
    <row r="40" spans="2:65" ht="15.75" x14ac:dyDescent="0.25">
      <c r="B40" s="84" t="s">
        <v>232</v>
      </c>
      <c r="C40" s="192">
        <v>7.35</v>
      </c>
      <c r="D40" s="237" t="s">
        <v>189</v>
      </c>
      <c r="F40" s="415">
        <f t="shared" si="1"/>
        <v>0.52499999999999991</v>
      </c>
      <c r="G40" s="416">
        <f t="shared" si="2"/>
        <v>0.52499999999999991</v>
      </c>
      <c r="H40" s="416"/>
      <c r="I40" s="416">
        <v>3</v>
      </c>
      <c r="J40" s="416">
        <v>3</v>
      </c>
      <c r="K40" s="416">
        <f t="shared" si="12"/>
        <v>0</v>
      </c>
      <c r="L40" s="72">
        <f>'Mezišachetní úsek'!H42</f>
        <v>9</v>
      </c>
      <c r="M40" s="72">
        <f>'Mezišachetní úsek'!I42</f>
        <v>72</v>
      </c>
      <c r="N40" s="72"/>
      <c r="O40" s="72"/>
      <c r="P40" s="416">
        <f t="shared" si="13"/>
        <v>0</v>
      </c>
      <c r="Q40" s="72">
        <f>'Mezišachetní úsek'!J42</f>
        <v>0</v>
      </c>
      <c r="R40" s="72">
        <f>'Mezišachetní úsek'!K42</f>
        <v>0</v>
      </c>
      <c r="S40" s="72">
        <f>'Mezišachetní úsek'!L42</f>
        <v>0</v>
      </c>
      <c r="T40" s="72">
        <f>'Mezišachetní úsek'!M42</f>
        <v>0</v>
      </c>
      <c r="U40" s="72">
        <f>'Mezišachetní úsek'!N42</f>
        <v>0</v>
      </c>
      <c r="V40" s="72">
        <f>'Mezišachetní úsek'!O42</f>
        <v>0</v>
      </c>
      <c r="W40" s="72">
        <f>'Mezišachetní úsek'!P42</f>
        <v>0</v>
      </c>
      <c r="X40" s="72">
        <f>'Mezišachetní úsek'!Q42</f>
        <v>0</v>
      </c>
      <c r="Y40" s="380"/>
      <c r="Z40" t="s">
        <v>184</v>
      </c>
      <c r="AA40">
        <f t="shared" si="3"/>
        <v>0.72499999999999987</v>
      </c>
      <c r="AB40">
        <f t="shared" si="4"/>
        <v>0.62499999999999989</v>
      </c>
      <c r="AC40" t="str">
        <f t="shared" si="5"/>
        <v>Š18-nástupiště</v>
      </c>
      <c r="AD40" s="395"/>
      <c r="AE40" s="396"/>
      <c r="AF40" s="397"/>
      <c r="AG40" s="398">
        <f>L40*0.055*0.055*3.14</f>
        <v>8.5486500000000007E-2</v>
      </c>
      <c r="AH40" s="399">
        <f>Q40*0.08*0.08*3.14</f>
        <v>0</v>
      </c>
      <c r="AI40" s="398">
        <f>W40*0.35*0.35</f>
        <v>0</v>
      </c>
      <c r="AJ40" s="397"/>
      <c r="AK40" s="400">
        <f>AA40*AB40</f>
        <v>0.45312499999999983</v>
      </c>
      <c r="AL40" s="34">
        <f t="shared" si="6"/>
        <v>8.5486500000000007E-2</v>
      </c>
      <c r="AM40" s="34">
        <f>(AK40-AL40)*C40</f>
        <v>2.7021429749999983</v>
      </c>
      <c r="AN40" s="235" t="s">
        <v>183</v>
      </c>
      <c r="AO40" s="34">
        <f>IF(AN40="ano",(2*AA40+0.3+2*AB40)*C40*1.2,0)</f>
        <v>0</v>
      </c>
      <c r="AP40" s="34" t="s">
        <v>249</v>
      </c>
      <c r="AQ40" s="34" t="str">
        <f>D40</f>
        <v>nástupiště</v>
      </c>
      <c r="AR40" s="34">
        <f>IF(AP40="ano",((AA40+0.2)*(AB40+0.1)-AA40*AB40)*C40,0)</f>
        <v>0</v>
      </c>
      <c r="AS40" s="34">
        <f>IF(AR40&gt;0.001,(AA40+2*AB40)*C40*1.25,0)</f>
        <v>0</v>
      </c>
      <c r="AT40" t="s">
        <v>184</v>
      </c>
      <c r="AU40" s="13">
        <f>IF(AT40="ano",AK40+$AU$20,0)</f>
        <v>1.2531249999999998</v>
      </c>
      <c r="AV40" s="34">
        <f>'[1]Mezišachetní úsek'!Y42</f>
        <v>0</v>
      </c>
      <c r="AW40" s="34">
        <f>IF(AT40="ano",AU40*C40*0.1,"není")</f>
        <v>0.92104687499999993</v>
      </c>
      <c r="AX40" s="34">
        <f>'[1]Mezišachetní úsek'!AA42</f>
        <v>0</v>
      </c>
      <c r="AY40" s="34"/>
      <c r="AZ40" s="34">
        <f t="shared" si="7"/>
        <v>0</v>
      </c>
      <c r="BA40" s="154" t="str">
        <f>B40</f>
        <v>Š18-nástupiště</v>
      </c>
      <c r="BD40" s="154" t="str">
        <f t="shared" si="8"/>
        <v>Š18-nástupiště</v>
      </c>
      <c r="BE40" s="13" t="str">
        <f t="shared" si="9"/>
        <v>nebude</v>
      </c>
      <c r="BF40" s="13">
        <f>IF(BE40="ano",(2*AA40+0.3+2*AB40)*C40*1.2,0)</f>
        <v>0</v>
      </c>
      <c r="BG40" s="13"/>
      <c r="BH40" s="13" t="str">
        <f t="shared" si="10"/>
        <v>nebude</v>
      </c>
      <c r="BI40" s="13">
        <f t="shared" si="11"/>
        <v>0</v>
      </c>
      <c r="BK40" s="13">
        <f>IF(BJ40="ano",AU40*C40,0)</f>
        <v>0</v>
      </c>
      <c r="BM40">
        <f>IF(BL40="ano",(AA40+AB40*2)*C40,0)</f>
        <v>0</v>
      </c>
    </row>
    <row r="41" spans="2:65" ht="15.75" x14ac:dyDescent="0.25">
      <c r="B41" s="84"/>
      <c r="C41" s="192"/>
      <c r="D41" s="237"/>
      <c r="F41" s="415">
        <f t="shared" si="1"/>
        <v>0</v>
      </c>
      <c r="G41" s="416">
        <f t="shared" si="2"/>
        <v>0</v>
      </c>
      <c r="H41" s="416"/>
      <c r="I41" s="416"/>
      <c r="J41" s="416"/>
      <c r="K41" s="416">
        <f t="shared" si="12"/>
        <v>0</v>
      </c>
      <c r="L41" s="72">
        <f>'Mezišachetní úsek'!H43</f>
        <v>0</v>
      </c>
      <c r="M41" s="72">
        <f>'Mezišachetní úsek'!I43</f>
        <v>0</v>
      </c>
      <c r="N41" s="72"/>
      <c r="O41" s="72"/>
      <c r="P41" s="416">
        <f t="shared" si="13"/>
        <v>0</v>
      </c>
      <c r="Q41" s="72">
        <f>'Mezišachetní úsek'!J43</f>
        <v>0</v>
      </c>
      <c r="R41" s="72">
        <f>'Mezišachetní úsek'!K43</f>
        <v>0</v>
      </c>
      <c r="S41" s="72">
        <f>'Mezišachetní úsek'!L43</f>
        <v>0</v>
      </c>
      <c r="T41" s="72">
        <f>'Mezišachetní úsek'!M43</f>
        <v>0</v>
      </c>
      <c r="U41" s="72">
        <f>'Mezišachetní úsek'!N43</f>
        <v>0</v>
      </c>
      <c r="V41" s="72">
        <f>'Mezišachetní úsek'!O43</f>
        <v>0</v>
      </c>
      <c r="W41" s="72">
        <f>'Mezišachetní úsek'!P43</f>
        <v>0</v>
      </c>
      <c r="X41" s="72">
        <f>'Mezišachetní úsek'!Q43</f>
        <v>0</v>
      </c>
      <c r="Y41" s="380"/>
      <c r="AA41">
        <f t="shared" si="3"/>
        <v>0</v>
      </c>
      <c r="AB41">
        <f t="shared" si="4"/>
        <v>0</v>
      </c>
      <c r="AC41">
        <f t="shared" si="5"/>
        <v>0</v>
      </c>
      <c r="AD41" s="395"/>
      <c r="AE41" s="396"/>
      <c r="AF41" s="397"/>
      <c r="AG41" s="398">
        <f>L41*0.055*0.055*3.14</f>
        <v>0</v>
      </c>
      <c r="AH41" s="399">
        <f>Q41*0.08*0.08*3.14</f>
        <v>0</v>
      </c>
      <c r="AI41" s="398">
        <f>W41*0.35*0.35</f>
        <v>0</v>
      </c>
      <c r="AJ41" s="397"/>
      <c r="AK41" s="400">
        <f>AA41*AB41</f>
        <v>0</v>
      </c>
      <c r="AL41" s="34">
        <f t="shared" si="6"/>
        <v>0</v>
      </c>
      <c r="AM41" s="34">
        <f>(AK41-AL41)*C41</f>
        <v>0</v>
      </c>
      <c r="AN41" s="235"/>
      <c r="AO41" s="34">
        <f>IF(AN41="ano",(2*AA41+0.3+2*AB41)*C41*1.2,0)</f>
        <v>0</v>
      </c>
      <c r="AP41" s="34" t="s">
        <v>249</v>
      </c>
      <c r="AQ41" s="34">
        <f>D41</f>
        <v>0</v>
      </c>
      <c r="AR41" s="34">
        <f>IF(AP41="ano",((AA41+0.2)*(AB41+0.1)-AA41*AB41)*C41,0)</f>
        <v>0</v>
      </c>
      <c r="AS41" s="34">
        <f>IF(AR41&gt;0.001,(AA41+2*AB41)*C41*1.25,0)</f>
        <v>0</v>
      </c>
      <c r="AU41" s="13">
        <f>IF(AT41="ano",AK41+$AU$20,0)</f>
        <v>0</v>
      </c>
      <c r="AV41" s="34">
        <f>'[1]Mezišachetní úsek'!Y43</f>
        <v>11.235000000000001</v>
      </c>
      <c r="AW41" s="34" t="str">
        <f>IF(AT41="ano",AU41*C41*0.1,"není")</f>
        <v>není</v>
      </c>
      <c r="AX41" s="34">
        <f>'[1]Mezišachetní úsek'!AA43</f>
        <v>123.58500000000002</v>
      </c>
      <c r="AY41" s="34"/>
      <c r="AZ41" s="34">
        <f t="shared" si="7"/>
        <v>0</v>
      </c>
      <c r="BA41" s="154">
        <f>B41</f>
        <v>0</v>
      </c>
      <c r="BD41" s="154">
        <f t="shared" si="8"/>
        <v>0</v>
      </c>
      <c r="BE41" s="13">
        <f t="shared" si="9"/>
        <v>0</v>
      </c>
      <c r="BF41" s="13">
        <f>IF(BE41="ano",(2*AA41+0.3+2*AB41)*C41*1.2,0)</f>
        <v>0</v>
      </c>
      <c r="BG41" s="13"/>
      <c r="BH41" s="13">
        <f t="shared" si="10"/>
        <v>0</v>
      </c>
      <c r="BI41" s="13">
        <f t="shared" si="11"/>
        <v>0</v>
      </c>
      <c r="BK41" s="13">
        <f>IF(BJ41="ano",AU41*C41,0)</f>
        <v>0</v>
      </c>
      <c r="BM41">
        <f>IF(BL41="ano",(AA41+AB41*2)*C41,0)</f>
        <v>0</v>
      </c>
    </row>
    <row r="42" spans="2:65" ht="15.75" x14ac:dyDescent="0.25">
      <c r="B42" s="84" t="s">
        <v>233</v>
      </c>
      <c r="C42" s="192">
        <v>7.97</v>
      </c>
      <c r="D42" s="238" t="s">
        <v>190</v>
      </c>
      <c r="F42" s="415">
        <f t="shared" si="1"/>
        <v>1.5</v>
      </c>
      <c r="G42" s="416">
        <f t="shared" si="2"/>
        <v>1</v>
      </c>
      <c r="H42" s="416"/>
      <c r="I42" s="416"/>
      <c r="J42" s="416"/>
      <c r="K42" s="416">
        <f t="shared" si="12"/>
        <v>0</v>
      </c>
      <c r="L42" s="72">
        <f>'Mezišachetní úsek'!H44</f>
        <v>0</v>
      </c>
      <c r="M42" s="72">
        <f>'Mezišachetní úsek'!I44</f>
        <v>0</v>
      </c>
      <c r="N42" s="72"/>
      <c r="O42" s="72"/>
      <c r="P42" s="416">
        <f t="shared" si="13"/>
        <v>0</v>
      </c>
      <c r="Q42" s="72">
        <f>'Mezišachetní úsek'!J44</f>
        <v>0</v>
      </c>
      <c r="R42" s="72">
        <f>'Mezišachetní úsek'!K44</f>
        <v>0</v>
      </c>
      <c r="S42" s="72">
        <f>'Mezišachetní úsek'!L44</f>
        <v>0</v>
      </c>
      <c r="T42" s="72">
        <f>'Mezišachetní úsek'!M44</f>
        <v>0</v>
      </c>
      <c r="U42" s="72">
        <f>'Mezišachetní úsek'!N44</f>
        <v>3</v>
      </c>
      <c r="V42" s="72">
        <f>'Mezišachetní úsek'!O44</f>
        <v>2</v>
      </c>
      <c r="W42" s="72">
        <f>'Mezišachetní úsek'!P44</f>
        <v>6</v>
      </c>
      <c r="X42" s="72">
        <f>'Mezišachetní úsek'!Q44</f>
        <v>54</v>
      </c>
      <c r="Y42" s="380"/>
      <c r="Z42" t="s">
        <v>184</v>
      </c>
      <c r="AA42">
        <f t="shared" si="3"/>
        <v>1.7</v>
      </c>
      <c r="AB42">
        <f t="shared" si="4"/>
        <v>1.1000000000000001</v>
      </c>
      <c r="AC42" t="str">
        <f t="shared" si="5"/>
        <v>Š16-Š19</v>
      </c>
      <c r="AD42" s="395"/>
      <c r="AE42" s="396"/>
      <c r="AF42" s="397"/>
      <c r="AG42" s="398">
        <f>L42*0.055*0.055*3.14</f>
        <v>0</v>
      </c>
      <c r="AH42" s="399">
        <f>Q42*0.08*0.08*3.14</f>
        <v>0</v>
      </c>
      <c r="AI42" s="398">
        <f>W42*0.35*0.35</f>
        <v>0.73499999999999988</v>
      </c>
      <c r="AJ42" s="397"/>
      <c r="AK42" s="400">
        <f>AA42*AB42</f>
        <v>1.87</v>
      </c>
      <c r="AL42" s="34">
        <f t="shared" si="6"/>
        <v>0.73499999999999988</v>
      </c>
      <c r="AM42" s="34">
        <f>(AK42-AL42)*C42</f>
        <v>9.0459500000000013</v>
      </c>
      <c r="AN42" s="235" t="s">
        <v>184</v>
      </c>
      <c r="AO42" s="34">
        <f>IF(AN42="ano",(2*AA42+0.3+2*AB42)*C42*1.2,0)</f>
        <v>56.427600000000005</v>
      </c>
      <c r="AP42" s="34" t="s">
        <v>184</v>
      </c>
      <c r="AQ42" s="34" t="str">
        <f>D42</f>
        <v>Pod kolejemi</v>
      </c>
      <c r="AR42" s="34">
        <f>IF(AP42="ano",((AA42+0.2)*(AB42+0.1)-AA42*AB42)*C42,0)</f>
        <v>3.2677000000000009</v>
      </c>
      <c r="AS42" s="34">
        <f>IF(AR42&gt;0.001,(AA42+2*AB42)*C42*1.25,0)</f>
        <v>38.853750000000005</v>
      </c>
      <c r="AT42" t="s">
        <v>184</v>
      </c>
      <c r="AU42" s="13">
        <f>IF(AT42="ano",AK42+$AU$20,0)</f>
        <v>2.67</v>
      </c>
      <c r="AV42" s="34">
        <f>'[1]Mezišachetní úsek'!Y44</f>
        <v>0.2</v>
      </c>
      <c r="AW42" s="34">
        <f>IF(AT42="ano",AU42*C42*0.1,"není")</f>
        <v>2.12799</v>
      </c>
      <c r="AX42" s="34">
        <f>'[1]Mezišachetní úsek'!AA44</f>
        <v>2.2000000000000002</v>
      </c>
      <c r="AY42" s="34" t="s">
        <v>184</v>
      </c>
      <c r="AZ42" s="34">
        <f t="shared" si="7"/>
        <v>2.57</v>
      </c>
      <c r="BA42" s="154" t="str">
        <f>B42</f>
        <v>Š16-Š19</v>
      </c>
      <c r="BD42" s="154" t="str">
        <f t="shared" si="8"/>
        <v>Š16-Š19</v>
      </c>
      <c r="BE42" s="13" t="str">
        <f t="shared" si="9"/>
        <v>ano</v>
      </c>
      <c r="BF42" s="13">
        <f>IF(BE42="ano",(2*AA42+0.3+2*AB42)*C42*1.2,0)</f>
        <v>56.427600000000005</v>
      </c>
      <c r="BG42" s="13"/>
      <c r="BH42" s="13" t="str">
        <f t="shared" si="10"/>
        <v>ano</v>
      </c>
      <c r="BI42" s="13">
        <f t="shared" si="11"/>
        <v>112.85520000000001</v>
      </c>
      <c r="BJ42" t="s">
        <v>184</v>
      </c>
      <c r="BK42" s="13">
        <f>IF(BJ42="ano",AU42*C42,0)</f>
        <v>21.279899999999998</v>
      </c>
      <c r="BL42" t="s">
        <v>184</v>
      </c>
      <c r="BM42">
        <f>IF(BL42="ano",(AA42+AB42*2)*C42,0)</f>
        <v>31.083000000000002</v>
      </c>
    </row>
    <row r="43" spans="2:65" s="396" customFormat="1" ht="15.75" x14ac:dyDescent="0.25">
      <c r="B43" s="84" t="s">
        <v>234</v>
      </c>
      <c r="C43" s="192">
        <v>15.54</v>
      </c>
      <c r="D43" s="237" t="s">
        <v>189</v>
      </c>
      <c r="F43" s="415">
        <f t="shared" si="1"/>
        <v>0.5</v>
      </c>
      <c r="G43" s="416">
        <f t="shared" si="2"/>
        <v>1</v>
      </c>
      <c r="H43" s="416"/>
      <c r="I43" s="416"/>
      <c r="J43" s="416"/>
      <c r="K43" s="416">
        <f t="shared" si="12"/>
        <v>0</v>
      </c>
      <c r="L43" s="72">
        <f>'Mezišachetní úsek'!H45</f>
        <v>0</v>
      </c>
      <c r="M43" s="72">
        <f>'Mezišachetní úsek'!I45</f>
        <v>0</v>
      </c>
      <c r="N43" s="72"/>
      <c r="O43" s="72"/>
      <c r="P43" s="416">
        <f t="shared" si="13"/>
        <v>0</v>
      </c>
      <c r="Q43" s="72">
        <f>'Mezišachetní úsek'!J45</f>
        <v>0</v>
      </c>
      <c r="R43" s="72">
        <f>'Mezišachetní úsek'!K45</f>
        <v>0</v>
      </c>
      <c r="S43" s="72">
        <f>'Mezišachetní úsek'!L45</f>
        <v>0</v>
      </c>
      <c r="T43" s="72">
        <f>'Mezišachetní úsek'!M45</f>
        <v>0</v>
      </c>
      <c r="U43" s="72">
        <f>'Mezišachetní úsek'!N45</f>
        <v>1</v>
      </c>
      <c r="V43" s="72">
        <f>'Mezišachetní úsek'!O45</f>
        <v>2</v>
      </c>
      <c r="W43" s="72">
        <f>'Mezišachetní úsek'!P45</f>
        <v>2</v>
      </c>
      <c r="X43" s="72">
        <f>'Mezišachetní úsek'!Q45</f>
        <v>34</v>
      </c>
      <c r="Y43" s="380"/>
      <c r="Z43" t="s">
        <v>184</v>
      </c>
      <c r="AA43">
        <f t="shared" si="3"/>
        <v>0.7</v>
      </c>
      <c r="AB43">
        <f t="shared" si="4"/>
        <v>1.1000000000000001</v>
      </c>
      <c r="AC43" t="str">
        <f t="shared" si="5"/>
        <v>Š19-Š19a</v>
      </c>
      <c r="AD43" s="395"/>
      <c r="AF43" s="397"/>
      <c r="AG43" s="398">
        <f>L43*0.055*0.055*3.14</f>
        <v>0</v>
      </c>
      <c r="AH43" s="399">
        <f>Q43*0.08*0.08*3.14</f>
        <v>0</v>
      </c>
      <c r="AI43" s="398">
        <f>W43*0.35*0.35</f>
        <v>0.24499999999999997</v>
      </c>
      <c r="AJ43" s="397"/>
      <c r="AK43" s="400">
        <f>AA43*AB43</f>
        <v>0.77</v>
      </c>
      <c r="AL43" s="34">
        <f t="shared" si="6"/>
        <v>0.24499999999999997</v>
      </c>
      <c r="AM43" s="34">
        <f>(AK43-AL43)*C43</f>
        <v>8.1585000000000001</v>
      </c>
      <c r="AN43" s="235" t="s">
        <v>183</v>
      </c>
      <c r="AO43" s="34">
        <f>IF(AN43="ano",(2*AA43+0.3+2*AB43)*C43*1.2,0)</f>
        <v>0</v>
      </c>
      <c r="AP43" s="34" t="s">
        <v>249</v>
      </c>
      <c r="AQ43" s="34" t="str">
        <f>D43</f>
        <v>nástupiště</v>
      </c>
      <c r="AR43" s="34">
        <f>IF(AP43="ano",((AA43+0.2)*(AB43+0.1)-AA43*AB43)*C43,0)</f>
        <v>0</v>
      </c>
      <c r="AS43" s="34">
        <f>IF(AR43&gt;0.001,(AA43+2*AB43)*C43*1.25,0)</f>
        <v>0</v>
      </c>
      <c r="AT43" s="396" t="s">
        <v>184</v>
      </c>
      <c r="AU43" s="13">
        <f>IF(AT43="ano",AK43+$AU$20,0)</f>
        <v>1.57</v>
      </c>
      <c r="AV43" s="34">
        <f>'[1]Mezišachetní úsek'!Y45</f>
        <v>6.7200000000000006</v>
      </c>
      <c r="AW43" s="34">
        <f>IF(AT43="ano",AU43*C43*0.1,"není")</f>
        <v>2.4397800000000003</v>
      </c>
      <c r="AX43" s="34">
        <f>'[1]Mezišachetní úsek'!AA45</f>
        <v>73.920000000000016</v>
      </c>
      <c r="AY43" s="34"/>
      <c r="AZ43" s="34">
        <f t="shared" si="7"/>
        <v>0</v>
      </c>
      <c r="BA43" s="154" t="str">
        <f>B43</f>
        <v>Š19-Š19a</v>
      </c>
      <c r="BD43" s="154" t="str">
        <f t="shared" si="8"/>
        <v>Š19-Š19a</v>
      </c>
      <c r="BE43" s="13" t="str">
        <f t="shared" si="9"/>
        <v>nebude</v>
      </c>
      <c r="BF43" s="13">
        <f>IF(BE43="ano",(2*AA43+0.3+2*AB43)*C43*1.2,0)</f>
        <v>0</v>
      </c>
      <c r="BG43" s="13"/>
      <c r="BH43" s="13" t="str">
        <f t="shared" si="10"/>
        <v>nebude</v>
      </c>
      <c r="BI43" s="13">
        <f t="shared" si="11"/>
        <v>0</v>
      </c>
      <c r="BJ43"/>
      <c r="BK43" s="13">
        <f>IF(BJ43="ano",AU43*C43,0)</f>
        <v>0</v>
      </c>
      <c r="BL43"/>
      <c r="BM43">
        <f>IF(BL43="ano",(AA43+AB43*2)*C43,0)</f>
        <v>0</v>
      </c>
    </row>
    <row r="44" spans="2:65" ht="15.75" x14ac:dyDescent="0.25">
      <c r="B44" s="84" t="s">
        <v>298</v>
      </c>
      <c r="C44" s="192">
        <v>17.37</v>
      </c>
      <c r="D44" s="237" t="s">
        <v>189</v>
      </c>
      <c r="F44" s="415">
        <f t="shared" si="1"/>
        <v>0.5</v>
      </c>
      <c r="G44" s="416">
        <f t="shared" si="2"/>
        <v>1</v>
      </c>
      <c r="H44" s="416"/>
      <c r="I44" s="416"/>
      <c r="J44" s="416"/>
      <c r="K44" s="416">
        <f t="shared" si="12"/>
        <v>0</v>
      </c>
      <c r="L44" s="72">
        <f>'Mezišachetní úsek'!H46</f>
        <v>0</v>
      </c>
      <c r="M44" s="72">
        <f>'Mezišachetní úsek'!I46</f>
        <v>0</v>
      </c>
      <c r="N44" s="72"/>
      <c r="O44" s="72"/>
      <c r="P44" s="416">
        <f t="shared" si="13"/>
        <v>0</v>
      </c>
      <c r="Q44" s="72">
        <f>'Mezišachetní úsek'!J46</f>
        <v>0</v>
      </c>
      <c r="R44" s="72">
        <f>'Mezišachetní úsek'!K46</f>
        <v>0</v>
      </c>
      <c r="S44" s="72">
        <f>'Mezišachetní úsek'!L46</f>
        <v>0</v>
      </c>
      <c r="T44" s="72">
        <f>'Mezišachetní úsek'!M46</f>
        <v>0</v>
      </c>
      <c r="U44" s="72">
        <f>'Mezišachetní úsek'!N46</f>
        <v>1</v>
      </c>
      <c r="V44" s="72">
        <f>'Mezišachetní úsek'!O46</f>
        <v>2</v>
      </c>
      <c r="W44" s="72">
        <f>'Mezišachetní úsek'!P46</f>
        <v>2</v>
      </c>
      <c r="X44" s="72">
        <f>'Mezišachetní úsek'!Q46</f>
        <v>36</v>
      </c>
      <c r="Y44" s="380"/>
      <c r="Z44" t="s">
        <v>184</v>
      </c>
      <c r="AA44">
        <v>0.12</v>
      </c>
      <c r="AB44">
        <v>0.3</v>
      </c>
      <c r="AC44" t="str">
        <f t="shared" si="5"/>
        <v>Š19a-Š19b</v>
      </c>
      <c r="AD44" s="395"/>
      <c r="AE44" s="396"/>
      <c r="AF44" s="397"/>
      <c r="AG44" s="398">
        <f>L44*0.055*0.055*3.14</f>
        <v>0</v>
      </c>
      <c r="AH44" s="399">
        <f>Q44*0.08*0.08*3.14</f>
        <v>0</v>
      </c>
      <c r="AI44" s="398">
        <f>W44*0.35*0.35</f>
        <v>0.24499999999999997</v>
      </c>
      <c r="AJ44" s="397"/>
      <c r="AK44" s="400">
        <f>AA44*AB44</f>
        <v>3.5999999999999997E-2</v>
      </c>
      <c r="AL44" s="34">
        <f t="shared" si="6"/>
        <v>0.24499999999999997</v>
      </c>
      <c r="AM44" s="34">
        <f>(AK44-AL44)*C44</f>
        <v>-3.6303299999999994</v>
      </c>
      <c r="AN44" s="235" t="s">
        <v>183</v>
      </c>
      <c r="AO44" s="34">
        <f>IF(AN44="ano",(2*AA44+0.3+2*AB44)*C44*1.2,0)</f>
        <v>0</v>
      </c>
      <c r="AP44" s="34" t="s">
        <v>249</v>
      </c>
      <c r="AQ44" s="34" t="str">
        <f>D44</f>
        <v>nástupiště</v>
      </c>
      <c r="AR44" s="34">
        <f>IF(AP44="ano",((AA44+0.2)*(AB44+0.1)-AA44*AB44)*C44,0)</f>
        <v>0</v>
      </c>
      <c r="AS44" s="34">
        <f>IF(AR44&gt;0.001,(AA44+2*AB44)*C44*1.25,0)</f>
        <v>0</v>
      </c>
      <c r="AT44" t="s">
        <v>184</v>
      </c>
      <c r="AU44" s="13">
        <f>IF(AT44="ano",AK44+$AU$20,0)</f>
        <v>0.83600000000000008</v>
      </c>
      <c r="AV44" s="34">
        <f>'[1]Mezišachetní úsek'!Y46</f>
        <v>0</v>
      </c>
      <c r="AW44" s="34">
        <f>IF(AT44="ano",AU44*C44*0.1,"není")</f>
        <v>1.4521320000000004</v>
      </c>
      <c r="AX44" s="34">
        <f>'[1]Mezišachetní úsek'!AA46</f>
        <v>0</v>
      </c>
      <c r="AY44" s="34"/>
      <c r="AZ44" s="34">
        <f t="shared" si="7"/>
        <v>0</v>
      </c>
      <c r="BA44" s="154" t="str">
        <f>B44</f>
        <v>Š19a-Š19b</v>
      </c>
      <c r="BD44" s="154" t="str">
        <f t="shared" si="8"/>
        <v>Š19a-Š19b</v>
      </c>
      <c r="BE44" s="13" t="str">
        <f t="shared" si="9"/>
        <v>nebude</v>
      </c>
      <c r="BF44" s="13">
        <f>IF(BE44="ano",(2*AA44+0.3+2*AB44)*C44*1.2,0)</f>
        <v>0</v>
      </c>
      <c r="BG44" s="13"/>
      <c r="BH44" s="13" t="str">
        <f t="shared" si="10"/>
        <v>nebude</v>
      </c>
      <c r="BI44" s="13">
        <f t="shared" si="11"/>
        <v>0</v>
      </c>
      <c r="BK44" s="13">
        <f>IF(BJ44="ano",AU44*C44,0)</f>
        <v>0</v>
      </c>
      <c r="BM44">
        <f>IF(BL44="ano",(AA44+AB44*2)*C44,0)</f>
        <v>0</v>
      </c>
    </row>
    <row r="45" spans="2:65" ht="15.75" x14ac:dyDescent="0.25">
      <c r="B45" s="84" t="s">
        <v>297</v>
      </c>
      <c r="C45" s="192">
        <v>7.64</v>
      </c>
      <c r="D45" s="237" t="s">
        <v>189</v>
      </c>
      <c r="F45" s="415">
        <f t="shared" si="1"/>
        <v>0.52499999999999991</v>
      </c>
      <c r="G45" s="416">
        <f t="shared" si="2"/>
        <v>1.0499999999999998</v>
      </c>
      <c r="H45" s="416"/>
      <c r="I45" s="416">
        <v>3</v>
      </c>
      <c r="J45" s="416">
        <v>6</v>
      </c>
      <c r="K45" s="416">
        <f t="shared" si="12"/>
        <v>0</v>
      </c>
      <c r="L45" s="72">
        <f>'Mezišachetní úsek'!H47</f>
        <v>18</v>
      </c>
      <c r="M45" s="72">
        <f>'Mezišachetní úsek'!I47</f>
        <v>162</v>
      </c>
      <c r="N45" s="72"/>
      <c r="O45" s="72"/>
      <c r="P45" s="416">
        <f t="shared" si="13"/>
        <v>0</v>
      </c>
      <c r="Q45" s="72">
        <f>'Mezišachetní úsek'!J47</f>
        <v>0</v>
      </c>
      <c r="R45" s="72">
        <f>'Mezišachetní úsek'!K47</f>
        <v>0</v>
      </c>
      <c r="S45" s="72">
        <f>'Mezišachetní úsek'!L47</f>
        <v>0</v>
      </c>
      <c r="T45" s="72">
        <f>'Mezišachetní úsek'!M47</f>
        <v>0</v>
      </c>
      <c r="U45" s="72">
        <f>'Mezišachetní úsek'!N47</f>
        <v>0</v>
      </c>
      <c r="V45" s="72">
        <f>'Mezišachetní úsek'!O47</f>
        <v>0</v>
      </c>
      <c r="W45" s="72">
        <f>'Mezišachetní úsek'!P47</f>
        <v>0</v>
      </c>
      <c r="X45" s="72">
        <f>'Mezišachetní úsek'!Q47</f>
        <v>0</v>
      </c>
      <c r="Y45" s="380"/>
      <c r="Z45" t="s">
        <v>184</v>
      </c>
      <c r="AA45">
        <f t="shared" si="3"/>
        <v>0.72499999999999987</v>
      </c>
      <c r="AB45">
        <f t="shared" si="4"/>
        <v>1.1499999999999999</v>
      </c>
      <c r="AC45" t="str">
        <f t="shared" si="5"/>
        <v>Š19b-nástupiště</v>
      </c>
      <c r="AD45" s="395"/>
      <c r="AE45" s="396"/>
      <c r="AF45" s="397"/>
      <c r="AG45" s="398">
        <f>L45*0.055*0.055*3.14</f>
        <v>0.17097300000000001</v>
      </c>
      <c r="AH45" s="399">
        <f>Q45*0.08*0.08*3.14</f>
        <v>0</v>
      </c>
      <c r="AI45" s="398">
        <f>W45*0.35*0.35</f>
        <v>0</v>
      </c>
      <c r="AJ45" s="397"/>
      <c r="AK45" s="400">
        <f>AA45*AB45</f>
        <v>0.83374999999999977</v>
      </c>
      <c r="AL45" s="34">
        <f t="shared" si="6"/>
        <v>0.17097300000000001</v>
      </c>
      <c r="AM45" s="34">
        <f>(AK45-AL45)*C45</f>
        <v>5.063616279999998</v>
      </c>
      <c r="AN45" s="235" t="s">
        <v>183</v>
      </c>
      <c r="AO45" s="34">
        <f>IF(AN45="ano",(2*AA45+0.3+2*AB45)*C45*1.2,0)</f>
        <v>0</v>
      </c>
      <c r="AP45" s="34" t="s">
        <v>249</v>
      </c>
      <c r="AQ45" s="34" t="str">
        <f>D45</f>
        <v>nástupiště</v>
      </c>
      <c r="AR45" s="34">
        <f>IF(AP45="ano",((AA45+0.2)*(AB45+0.1)-AA45*AB45)*C45,0)</f>
        <v>0</v>
      </c>
      <c r="AS45" s="34">
        <f>IF(AR45&gt;0.001,(AA45+2*AB45)*C45*1.25,0)</f>
        <v>0</v>
      </c>
      <c r="AT45" t="s">
        <v>184</v>
      </c>
      <c r="AU45" s="13">
        <f>IF(AT45="ano",AK45+$AU$20,0)</f>
        <v>1.6337499999999998</v>
      </c>
      <c r="AV45" s="34">
        <f>'[1]Mezišachetní úsek'!Y47</f>
        <v>0</v>
      </c>
      <c r="AW45" s="34">
        <f>IF(AT45="ano",AU45*C45*0.1,"není")</f>
        <v>1.2481849999999999</v>
      </c>
      <c r="AX45" s="34">
        <f>'[1]Mezišachetní úsek'!AA47</f>
        <v>0</v>
      </c>
      <c r="AY45" s="34"/>
      <c r="AZ45" s="34">
        <f t="shared" si="7"/>
        <v>0</v>
      </c>
      <c r="BA45" s="154" t="str">
        <f>B45</f>
        <v>Š19b-nástupiště</v>
      </c>
      <c r="BD45" s="154" t="str">
        <f t="shared" si="8"/>
        <v>Š19b-nástupiště</v>
      </c>
      <c r="BE45" s="13" t="str">
        <f t="shared" si="9"/>
        <v>nebude</v>
      </c>
      <c r="BF45" s="13">
        <f>IF(BE45="ano",(2*AA45+0.3+2*AB45)*C45*1.2,0)</f>
        <v>0</v>
      </c>
      <c r="BG45" s="13"/>
      <c r="BH45" s="13" t="str">
        <f t="shared" si="10"/>
        <v>nebude</v>
      </c>
      <c r="BI45" s="13">
        <f t="shared" si="11"/>
        <v>0</v>
      </c>
      <c r="BK45" s="13">
        <f>IF(BJ45="ano",AU45*C45,0)</f>
        <v>0</v>
      </c>
      <c r="BM45">
        <f>IF(BL45="ano",(AA45+AB45*2)*C45,0)</f>
        <v>0</v>
      </c>
    </row>
    <row r="46" spans="2:65" ht="15.75" x14ac:dyDescent="0.25">
      <c r="B46" s="84"/>
      <c r="C46" s="192"/>
      <c r="D46" s="237"/>
      <c r="F46" s="415">
        <f t="shared" si="1"/>
        <v>0</v>
      </c>
      <c r="G46" s="416">
        <f t="shared" si="2"/>
        <v>0</v>
      </c>
      <c r="H46" s="416"/>
      <c r="I46" s="416"/>
      <c r="J46" s="416"/>
      <c r="K46" s="416">
        <f t="shared" si="12"/>
        <v>0</v>
      </c>
      <c r="L46" s="72">
        <f>'Mezišachetní úsek'!H48</f>
        <v>0</v>
      </c>
      <c r="M46" s="72">
        <f>'Mezišachetní úsek'!I48</f>
        <v>0</v>
      </c>
      <c r="N46" s="72"/>
      <c r="O46" s="72"/>
      <c r="P46" s="416">
        <f t="shared" si="13"/>
        <v>0</v>
      </c>
      <c r="Q46" s="72">
        <f>'Mezišachetní úsek'!J48</f>
        <v>0</v>
      </c>
      <c r="R46" s="72">
        <f>'Mezišachetní úsek'!K48</f>
        <v>0</v>
      </c>
      <c r="S46" s="72">
        <f>'Mezišachetní úsek'!L48</f>
        <v>0</v>
      </c>
      <c r="T46" s="72">
        <f>'Mezišachetní úsek'!M48</f>
        <v>0</v>
      </c>
      <c r="U46" s="72">
        <f>'Mezišachetní úsek'!N48</f>
        <v>0</v>
      </c>
      <c r="V46" s="72">
        <f>'Mezišachetní úsek'!O48</f>
        <v>0</v>
      </c>
      <c r="W46" s="72">
        <f>'Mezišachetní úsek'!P48</f>
        <v>0</v>
      </c>
      <c r="X46" s="72">
        <f>'Mezišachetní úsek'!Q48</f>
        <v>0</v>
      </c>
      <c r="Y46" s="380"/>
      <c r="AA46">
        <f t="shared" si="3"/>
        <v>0</v>
      </c>
      <c r="AB46">
        <f t="shared" si="4"/>
        <v>0</v>
      </c>
      <c r="AC46">
        <f t="shared" si="5"/>
        <v>0</v>
      </c>
      <c r="AD46" s="395"/>
      <c r="AE46" s="396"/>
      <c r="AF46" s="397"/>
      <c r="AG46" s="398">
        <f>L46*0.055*0.055*3.14</f>
        <v>0</v>
      </c>
      <c r="AH46" s="399">
        <f>Q46*0.08*0.08*3.14</f>
        <v>0</v>
      </c>
      <c r="AI46" s="398">
        <f>W46*0.35*0.35</f>
        <v>0</v>
      </c>
      <c r="AJ46" s="397"/>
      <c r="AK46" s="400">
        <f>AA46*AB46</f>
        <v>0</v>
      </c>
      <c r="AL46" s="34">
        <f t="shared" si="6"/>
        <v>0</v>
      </c>
      <c r="AM46" s="34">
        <f>(AK46-AL46)*C46</f>
        <v>0</v>
      </c>
      <c r="AN46" s="235"/>
      <c r="AO46" s="34">
        <f>IF(AN46="ano",(2*AA46+0.3+2*AB46)*C46*1.2,0)</f>
        <v>0</v>
      </c>
      <c r="AP46" s="34" t="s">
        <v>249</v>
      </c>
      <c r="AQ46" s="34">
        <f>D46</f>
        <v>0</v>
      </c>
      <c r="AR46" s="34">
        <f>IF(AP46="ano",((AA46+0.2)*(AB46+0.1)-AA46*AB46)*C46,0)</f>
        <v>0</v>
      </c>
      <c r="AS46" s="34">
        <f>IF(AR46&gt;0.001,(AA46+2*AB46)*C46*1.25,0)</f>
        <v>0</v>
      </c>
      <c r="AU46" s="13">
        <f>IF(AT46="ano",AK46+$AU$20,0)</f>
        <v>0</v>
      </c>
      <c r="AV46" s="34">
        <f>'[1]Mezišachetní úsek'!Y48</f>
        <v>4.62</v>
      </c>
      <c r="AW46" s="34" t="str">
        <f>IF(AT46="ano",AU46*C46*0.1,"není")</f>
        <v>není</v>
      </c>
      <c r="AX46" s="34">
        <f>'[1]Mezišachetní úsek'!AA48</f>
        <v>50.820000000000007</v>
      </c>
      <c r="AY46" s="34"/>
      <c r="AZ46" s="34">
        <f t="shared" si="7"/>
        <v>0</v>
      </c>
      <c r="BA46" s="154">
        <f>B46</f>
        <v>0</v>
      </c>
      <c r="BD46" s="154">
        <f t="shared" si="8"/>
        <v>0</v>
      </c>
      <c r="BE46" s="13">
        <f t="shared" si="9"/>
        <v>0</v>
      </c>
      <c r="BF46" s="13">
        <f>IF(BE46="ano",(2*AA46+0.3+2*AB46)*C46*1.2,0)</f>
        <v>0</v>
      </c>
      <c r="BG46" s="13"/>
      <c r="BH46" s="13">
        <f t="shared" si="10"/>
        <v>0</v>
      </c>
      <c r="BI46" s="13">
        <f t="shared" si="11"/>
        <v>0</v>
      </c>
      <c r="BK46" s="13">
        <f>IF(BJ46="ano",AU46*C46,0)</f>
        <v>0</v>
      </c>
      <c r="BM46">
        <f>IF(BL46="ano",(AA46+AB46*2)*C46,0)</f>
        <v>0</v>
      </c>
    </row>
    <row r="47" spans="2:65" ht="15.75" x14ac:dyDescent="0.25">
      <c r="B47" s="84" t="s">
        <v>229</v>
      </c>
      <c r="C47" s="192">
        <v>11.02</v>
      </c>
      <c r="D47" s="238" t="s">
        <v>190</v>
      </c>
      <c r="F47" s="415">
        <f t="shared" si="1"/>
        <v>1.5</v>
      </c>
      <c r="G47" s="416">
        <f t="shared" si="2"/>
        <v>1</v>
      </c>
      <c r="H47" s="416"/>
      <c r="I47" s="416"/>
      <c r="J47" s="416"/>
      <c r="K47" s="416">
        <f t="shared" si="12"/>
        <v>0</v>
      </c>
      <c r="L47" s="72">
        <f>'Mezišachetní úsek'!H49</f>
        <v>0</v>
      </c>
      <c r="M47" s="72">
        <f>'Mezišachetní úsek'!I49</f>
        <v>0</v>
      </c>
      <c r="N47" s="72"/>
      <c r="O47" s="72"/>
      <c r="P47" s="416">
        <f t="shared" si="13"/>
        <v>0</v>
      </c>
      <c r="Q47" s="72">
        <f>'Mezišachetní úsek'!J49</f>
        <v>0</v>
      </c>
      <c r="R47" s="72">
        <f>'Mezišachetní úsek'!K49</f>
        <v>0</v>
      </c>
      <c r="S47" s="72">
        <f>'Mezišachetní úsek'!L49</f>
        <v>0</v>
      </c>
      <c r="T47" s="72">
        <f>'Mezišachetní úsek'!M49</f>
        <v>0</v>
      </c>
      <c r="U47" s="72">
        <f>'Mezišachetní úsek'!N49</f>
        <v>3</v>
      </c>
      <c r="V47" s="72">
        <f>'Mezišachetní úsek'!O49</f>
        <v>2</v>
      </c>
      <c r="W47" s="72">
        <f>'Mezišachetní úsek'!P49</f>
        <v>6</v>
      </c>
      <c r="X47" s="72">
        <f>'Mezišachetní úsek'!Q49</f>
        <v>72</v>
      </c>
      <c r="Y47" s="380"/>
      <c r="Z47" t="s">
        <v>184</v>
      </c>
      <c r="AA47">
        <v>0.12</v>
      </c>
      <c r="AB47">
        <v>0.3</v>
      </c>
      <c r="AC47" t="str">
        <f t="shared" si="5"/>
        <v>Š19-Š20</v>
      </c>
      <c r="AD47" s="395"/>
      <c r="AE47" s="396"/>
      <c r="AF47" s="397"/>
      <c r="AG47" s="398">
        <f>L47*0.055*0.055*3.14</f>
        <v>0</v>
      </c>
      <c r="AH47" s="399">
        <f>Q47*0.08*0.08*3.14</f>
        <v>0</v>
      </c>
      <c r="AI47" s="398">
        <f>W47*0.35*0.35</f>
        <v>0.73499999999999988</v>
      </c>
      <c r="AJ47" s="397"/>
      <c r="AK47" s="400">
        <f>AA47*AB47</f>
        <v>3.5999999999999997E-2</v>
      </c>
      <c r="AL47" s="34">
        <f t="shared" si="6"/>
        <v>0.73499999999999988</v>
      </c>
      <c r="AM47" s="34">
        <f>(AK47-AL47)*C47</f>
        <v>-7.7029799999999984</v>
      </c>
      <c r="AN47" s="235" t="s">
        <v>184</v>
      </c>
      <c r="AO47" s="34">
        <f>IF(AN47="ano",(2*AA47+0.3+2*AB47)*C47*1.2,0)</f>
        <v>15.07536</v>
      </c>
      <c r="AP47" s="34" t="s">
        <v>184</v>
      </c>
      <c r="AQ47" s="34" t="str">
        <f>D47</f>
        <v>Pod kolejemi</v>
      </c>
      <c r="AR47" s="34">
        <f>IF(AP47="ano",((AA47+0.2)*(AB47+0.1)-AA47*AB47)*C47,0)</f>
        <v>1.0138399999999999</v>
      </c>
      <c r="AS47" s="34">
        <f>IF(AR47&gt;0.001,(AA47+2*AB47)*C47*1.25,0)</f>
        <v>9.9179999999999993</v>
      </c>
      <c r="AT47" t="s">
        <v>184</v>
      </c>
      <c r="AU47" s="13">
        <f>IF(AT47="ano",AK47+$AU$20,0)</f>
        <v>0.83600000000000008</v>
      </c>
      <c r="AV47" s="34">
        <f>'[1]Mezišachetní úsek'!Y49</f>
        <v>0</v>
      </c>
      <c r="AW47" s="34">
        <f>IF(AT47="ano",AU47*C47*0.1,"není")</f>
        <v>0.92127200000000009</v>
      </c>
      <c r="AX47" s="34">
        <f>'[1]Mezišachetní úsek'!AA49</f>
        <v>0</v>
      </c>
      <c r="AY47" s="34" t="s">
        <v>184</v>
      </c>
      <c r="AZ47" s="34">
        <f t="shared" si="7"/>
        <v>0.7360000000000001</v>
      </c>
      <c r="BA47" s="154" t="str">
        <f>B47</f>
        <v>Š19-Š20</v>
      </c>
      <c r="BD47" s="154" t="str">
        <f t="shared" si="8"/>
        <v>Š19-Š20</v>
      </c>
      <c r="BE47" s="13" t="str">
        <f t="shared" si="9"/>
        <v>ano</v>
      </c>
      <c r="BF47" s="13">
        <f>IF(BE47="ano",(2*AA47+0.3+2*AB47)*C47*1.2,0)</f>
        <v>15.07536</v>
      </c>
      <c r="BG47" s="13"/>
      <c r="BH47" s="13" t="str">
        <f t="shared" si="10"/>
        <v>ano</v>
      </c>
      <c r="BI47" s="13">
        <f t="shared" si="11"/>
        <v>30.15072</v>
      </c>
      <c r="BJ47" t="s">
        <v>184</v>
      </c>
      <c r="BK47" s="13">
        <f>IF(BJ47="ano",AU47*C47,0)</f>
        <v>9.2127200000000009</v>
      </c>
      <c r="BL47" t="s">
        <v>184</v>
      </c>
      <c r="BM47">
        <f>IF(BL47="ano",(AA47+AB47*2)*C47,0)</f>
        <v>7.9343999999999992</v>
      </c>
    </row>
    <row r="48" spans="2:65" ht="15.75" x14ac:dyDescent="0.25">
      <c r="B48" s="84" t="s">
        <v>235</v>
      </c>
      <c r="C48" s="192">
        <v>25.56</v>
      </c>
      <c r="D48" s="237" t="s">
        <v>189</v>
      </c>
      <c r="F48" s="415">
        <f t="shared" si="1"/>
        <v>0.5</v>
      </c>
      <c r="G48" s="416">
        <f t="shared" si="2"/>
        <v>1</v>
      </c>
      <c r="H48" s="416"/>
      <c r="I48" s="416"/>
      <c r="J48" s="416"/>
      <c r="K48" s="416">
        <f t="shared" si="12"/>
        <v>0</v>
      </c>
      <c r="L48" s="72">
        <f>'Mezišachetní úsek'!H50</f>
        <v>0</v>
      </c>
      <c r="M48" s="72">
        <f>'Mezišachetní úsek'!I50</f>
        <v>0</v>
      </c>
      <c r="N48" s="72"/>
      <c r="O48" s="72"/>
      <c r="P48" s="416">
        <f t="shared" si="13"/>
        <v>0</v>
      </c>
      <c r="Q48" s="72">
        <f>'Mezišachetní úsek'!J50</f>
        <v>0</v>
      </c>
      <c r="R48" s="72">
        <f>'Mezišachetní úsek'!K50</f>
        <v>0</v>
      </c>
      <c r="S48" s="72">
        <f>'Mezišachetní úsek'!L50</f>
        <v>0</v>
      </c>
      <c r="T48" s="72">
        <f>'Mezišachetní úsek'!M50</f>
        <v>0</v>
      </c>
      <c r="U48" s="72">
        <f>'Mezišachetní úsek'!N50</f>
        <v>1</v>
      </c>
      <c r="V48" s="72">
        <f>'Mezišachetní úsek'!O50</f>
        <v>2</v>
      </c>
      <c r="W48" s="72">
        <f>'Mezišachetní úsek'!P50</f>
        <v>2</v>
      </c>
      <c r="X48" s="72">
        <f>'Mezišachetní úsek'!Q50</f>
        <v>54</v>
      </c>
      <c r="Y48" s="380"/>
      <c r="Z48" t="s">
        <v>184</v>
      </c>
      <c r="AA48">
        <v>0.12</v>
      </c>
      <c r="AB48">
        <v>0.12</v>
      </c>
      <c r="AC48" t="str">
        <f t="shared" si="5"/>
        <v>Š20-Š20a</v>
      </c>
      <c r="AD48" s="395"/>
      <c r="AE48" s="396"/>
      <c r="AF48" s="397"/>
      <c r="AG48" s="398">
        <f>L48*0.055*0.055*3.14</f>
        <v>0</v>
      </c>
      <c r="AH48" s="399">
        <f>Q48*0.08*0.08*3.14</f>
        <v>0</v>
      </c>
      <c r="AI48" s="398">
        <f>W48*0.35*0.35</f>
        <v>0.24499999999999997</v>
      </c>
      <c r="AJ48" s="397"/>
      <c r="AK48" s="400">
        <f>AA48*AB48</f>
        <v>1.44E-2</v>
      </c>
      <c r="AL48" s="34">
        <f t="shared" si="6"/>
        <v>0.24499999999999997</v>
      </c>
      <c r="AM48" s="34">
        <f>(AK48-AL48)*C48</f>
        <v>-5.8941359999999987</v>
      </c>
      <c r="AN48" s="235" t="s">
        <v>183</v>
      </c>
      <c r="AO48" s="34">
        <f>IF(AN48="ano",(2*AA48+0.3+2*AB48)*C48*1.2,0)</f>
        <v>0</v>
      </c>
      <c r="AP48" s="34" t="s">
        <v>249</v>
      </c>
      <c r="AQ48" s="34" t="str">
        <f>D48</f>
        <v>nástupiště</v>
      </c>
      <c r="AR48" s="34">
        <f>IF(AP48="ano",((AA48+0.2)*(AB48+0.1)-AA48*AB48)*C48,0)</f>
        <v>0</v>
      </c>
      <c r="AS48" s="34">
        <f>IF(AR48&gt;0.001,(AA48+2*AB48)*C48*1.25,0)</f>
        <v>0</v>
      </c>
      <c r="AT48" t="s">
        <v>184</v>
      </c>
      <c r="AU48" s="13">
        <f>IF(AT48="ano",AK48+$AU$20,0)</f>
        <v>0.81440000000000001</v>
      </c>
      <c r="AV48" s="34">
        <f>'[1]Mezišachetní úsek'!Y50</f>
        <v>0</v>
      </c>
      <c r="AW48" s="34">
        <f>IF(AT48="ano",AU48*C48*0.1,"není")</f>
        <v>2.0816064000000001</v>
      </c>
      <c r="AX48" s="34">
        <f>'[1]Mezišachetní úsek'!AA50</f>
        <v>0</v>
      </c>
      <c r="AY48" s="34"/>
      <c r="AZ48" s="34">
        <f t="shared" si="7"/>
        <v>0</v>
      </c>
      <c r="BA48" s="154" t="str">
        <f>B48</f>
        <v>Š20-Š20a</v>
      </c>
      <c r="BD48" s="154" t="str">
        <f t="shared" si="8"/>
        <v>Š20-Š20a</v>
      </c>
      <c r="BE48" s="13" t="str">
        <f t="shared" si="9"/>
        <v>nebude</v>
      </c>
      <c r="BF48" s="13">
        <f>IF(BE48="ano",(2*AA48+0.3+2*AB48)*C48*1.2,0)</f>
        <v>0</v>
      </c>
      <c r="BG48" s="13"/>
      <c r="BH48" s="13" t="str">
        <f t="shared" si="10"/>
        <v>nebude</v>
      </c>
      <c r="BI48" s="13">
        <f t="shared" si="11"/>
        <v>0</v>
      </c>
      <c r="BK48" s="13">
        <f>IF(BJ48="ano",AU48*C48,0)</f>
        <v>0</v>
      </c>
      <c r="BM48">
        <f>IF(BL48="ano",(AA48+AB48*2)*C48,0)</f>
        <v>0</v>
      </c>
    </row>
    <row r="49" spans="1:65" ht="15.75" x14ac:dyDescent="0.25">
      <c r="B49" s="84" t="s">
        <v>299</v>
      </c>
      <c r="C49" s="192">
        <v>15.19</v>
      </c>
      <c r="D49" s="237" t="s">
        <v>189</v>
      </c>
      <c r="F49" s="415">
        <f t="shared" si="1"/>
        <v>0.5</v>
      </c>
      <c r="G49" s="416">
        <f t="shared" si="2"/>
        <v>1</v>
      </c>
      <c r="H49" s="416"/>
      <c r="I49" s="416"/>
      <c r="J49" s="416"/>
      <c r="K49" s="416">
        <f t="shared" si="12"/>
        <v>0</v>
      </c>
      <c r="L49" s="72">
        <f>'Mezišachetní úsek'!H51</f>
        <v>0</v>
      </c>
      <c r="M49" s="72">
        <f>'Mezišachetní úsek'!I51</f>
        <v>0</v>
      </c>
      <c r="N49" s="72"/>
      <c r="O49" s="72"/>
      <c r="P49" s="416">
        <f t="shared" si="13"/>
        <v>0</v>
      </c>
      <c r="Q49" s="72">
        <f>'Mezišachetní úsek'!J51</f>
        <v>0</v>
      </c>
      <c r="R49" s="72">
        <f>'Mezišachetní úsek'!K51</f>
        <v>0</v>
      </c>
      <c r="S49" s="72">
        <f>'Mezišachetní úsek'!L51</f>
        <v>0</v>
      </c>
      <c r="T49" s="72">
        <f>'Mezišachetní úsek'!M51</f>
        <v>0</v>
      </c>
      <c r="U49" s="72">
        <f>'Mezišachetní úsek'!N51</f>
        <v>1</v>
      </c>
      <c r="V49" s="72">
        <f>'Mezišachetní úsek'!O51</f>
        <v>2</v>
      </c>
      <c r="W49" s="72">
        <f>'Mezišachetní úsek'!P51</f>
        <v>2</v>
      </c>
      <c r="X49" s="72">
        <f>'Mezišachetní úsek'!Q51</f>
        <v>32</v>
      </c>
      <c r="Y49" s="380"/>
      <c r="Z49" t="s">
        <v>184</v>
      </c>
      <c r="AA49">
        <f t="shared" si="3"/>
        <v>0.7</v>
      </c>
      <c r="AB49">
        <f t="shared" si="4"/>
        <v>1.1000000000000001</v>
      </c>
      <c r="AC49" t="str">
        <f t="shared" si="5"/>
        <v>Š20a-Š20b</v>
      </c>
      <c r="AD49" s="395"/>
      <c r="AE49" s="396"/>
      <c r="AF49" s="397"/>
      <c r="AG49" s="398">
        <f>L49*0.055*0.055*3.14</f>
        <v>0</v>
      </c>
      <c r="AH49" s="399">
        <f>Q49*0.08*0.08*3.14</f>
        <v>0</v>
      </c>
      <c r="AI49" s="398">
        <f>W49*0.35*0.35</f>
        <v>0.24499999999999997</v>
      </c>
      <c r="AJ49" s="397"/>
      <c r="AK49" s="400">
        <f>AA49*AB49</f>
        <v>0.77</v>
      </c>
      <c r="AL49" s="34">
        <f t="shared" si="6"/>
        <v>0.24499999999999997</v>
      </c>
      <c r="AM49" s="34">
        <f>(AK49-AL49)*C49</f>
        <v>7.9747500000000002</v>
      </c>
      <c r="AN49" s="235" t="s">
        <v>183</v>
      </c>
      <c r="AO49" s="34">
        <f>IF(AN49="ano",(2*AA49+0.3+2*AB49)*C49*1.2,0)</f>
        <v>0</v>
      </c>
      <c r="AP49" s="34" t="s">
        <v>249</v>
      </c>
      <c r="AQ49" s="34" t="str">
        <f>D49</f>
        <v>nástupiště</v>
      </c>
      <c r="AR49" s="34">
        <f>IF(AP49="ano",((AA49+0.2)*(AB49+0.1)-AA49*AB49)*C49,0)</f>
        <v>0</v>
      </c>
      <c r="AS49" s="34">
        <f>IF(AR49&gt;0.001,(AA49+2*AB49)*C49*1.25,0)</f>
        <v>0</v>
      </c>
      <c r="AT49" t="s">
        <v>184</v>
      </c>
      <c r="AU49" s="13">
        <f>IF(AT49="ano",AK49+$AU$20,0)</f>
        <v>1.57</v>
      </c>
      <c r="AV49" s="34">
        <f>'[1]Mezišachetní úsek'!Y51</f>
        <v>2.58</v>
      </c>
      <c r="AW49" s="34">
        <f>IF(AT49="ano",AU49*C49*0.1,"není")</f>
        <v>2.3848300000000004</v>
      </c>
      <c r="AX49" s="34">
        <f>'[1]Mezišachetní úsek'!AA51</f>
        <v>28.380000000000003</v>
      </c>
      <c r="AY49" s="34"/>
      <c r="AZ49" s="34">
        <f t="shared" si="7"/>
        <v>0</v>
      </c>
      <c r="BA49" s="154" t="str">
        <f>B49</f>
        <v>Š20a-Š20b</v>
      </c>
      <c r="BD49" s="154" t="str">
        <f t="shared" si="8"/>
        <v>Š20a-Š20b</v>
      </c>
      <c r="BE49" s="13" t="str">
        <f t="shared" si="9"/>
        <v>nebude</v>
      </c>
      <c r="BF49" s="13">
        <f>IF(BE49="ano",(2*AA49+0.3+2*AB49)*C49*1.2,0)</f>
        <v>0</v>
      </c>
      <c r="BG49" s="13"/>
      <c r="BH49" s="13" t="str">
        <f t="shared" si="10"/>
        <v>nebude</v>
      </c>
      <c r="BI49" s="13">
        <f t="shared" si="11"/>
        <v>0</v>
      </c>
      <c r="BK49" s="13">
        <f>IF(BJ49="ano",AU49*C49,0)</f>
        <v>0</v>
      </c>
      <c r="BM49">
        <f>IF(BL49="ano",(AA49+AB49*2)*C49,0)</f>
        <v>0</v>
      </c>
    </row>
    <row r="50" spans="1:65" ht="15.75" x14ac:dyDescent="0.25">
      <c r="B50" s="84" t="s">
        <v>300</v>
      </c>
      <c r="C50" s="192">
        <v>7.69</v>
      </c>
      <c r="D50" s="237" t="s">
        <v>189</v>
      </c>
      <c r="F50" s="415">
        <f t="shared" si="1"/>
        <v>0.52499999999999991</v>
      </c>
      <c r="G50" s="416">
        <f t="shared" si="2"/>
        <v>1.0499999999999998</v>
      </c>
      <c r="H50" s="416"/>
      <c r="I50" s="416">
        <v>3</v>
      </c>
      <c r="J50" s="416">
        <v>6</v>
      </c>
      <c r="K50" s="416">
        <f t="shared" si="12"/>
        <v>0</v>
      </c>
      <c r="L50" s="72">
        <f>'Mezišachetní úsek'!H52</f>
        <v>18</v>
      </c>
      <c r="M50" s="72">
        <f>'Mezišachetní úsek'!I52</f>
        <v>162</v>
      </c>
      <c r="N50" s="72"/>
      <c r="O50" s="72"/>
      <c r="P50" s="416">
        <f t="shared" si="13"/>
        <v>0</v>
      </c>
      <c r="Q50" s="72">
        <f>'Mezišachetní úsek'!J52</f>
        <v>0</v>
      </c>
      <c r="R50" s="72">
        <f>'Mezišachetní úsek'!K52</f>
        <v>0</v>
      </c>
      <c r="S50" s="72">
        <f>'Mezišachetní úsek'!L52</f>
        <v>0</v>
      </c>
      <c r="T50" s="72">
        <f>'Mezišachetní úsek'!M52</f>
        <v>0</v>
      </c>
      <c r="U50" s="72">
        <f>'Mezišachetní úsek'!N52</f>
        <v>0</v>
      </c>
      <c r="V50" s="72">
        <f>'Mezišachetní úsek'!O52</f>
        <v>0</v>
      </c>
      <c r="W50" s="72">
        <f>'Mezišachetní úsek'!P52</f>
        <v>0</v>
      </c>
      <c r="X50" s="72">
        <f>'Mezišachetní úsek'!Q52</f>
        <v>0</v>
      </c>
      <c r="Y50" s="380"/>
      <c r="Z50" t="s">
        <v>184</v>
      </c>
      <c r="AA50">
        <v>0.12</v>
      </c>
      <c r="AB50">
        <v>0.3</v>
      </c>
      <c r="AC50" t="str">
        <f t="shared" si="5"/>
        <v>Š20b-nástupiště</v>
      </c>
      <c r="AD50" s="395"/>
      <c r="AE50" s="396"/>
      <c r="AF50" s="397"/>
      <c r="AG50" s="398">
        <f>L50*0.055*0.055*3.14</f>
        <v>0.17097300000000001</v>
      </c>
      <c r="AH50" s="399">
        <f>Q50*0.08*0.08*3.14</f>
        <v>0</v>
      </c>
      <c r="AI50" s="398">
        <f>W50*0.35*0.35</f>
        <v>0</v>
      </c>
      <c r="AJ50" s="397"/>
      <c r="AK50" s="400">
        <f>AA50*AB50</f>
        <v>3.5999999999999997E-2</v>
      </c>
      <c r="AL50" s="34">
        <f t="shared" si="6"/>
        <v>0.17097300000000001</v>
      </c>
      <c r="AM50" s="34">
        <f>(AK50-AL50)*C50</f>
        <v>-1.0379423700000001</v>
      </c>
      <c r="AN50" s="235" t="s">
        <v>183</v>
      </c>
      <c r="AO50" s="34">
        <f>IF(AN50="ano",(2*AA50+0.3+2*AB50)*C50*1.2,0)</f>
        <v>0</v>
      </c>
      <c r="AP50" s="34" t="s">
        <v>249</v>
      </c>
      <c r="AQ50" s="34" t="str">
        <f>D50</f>
        <v>nástupiště</v>
      </c>
      <c r="AR50" s="34">
        <f>IF(AP50="ano",((AA50+0.2)*(AB50+0.1)-AA50*AB50)*C50,0)</f>
        <v>0</v>
      </c>
      <c r="AS50" s="34">
        <f>IF(AR50&gt;0.001,(AA50+2*AB50)*C50*1.25,0)</f>
        <v>0</v>
      </c>
      <c r="AT50" t="s">
        <v>184</v>
      </c>
      <c r="AU50" s="13">
        <f>IF(AT50="ano",AK50+$AU$20,0)</f>
        <v>0.83600000000000008</v>
      </c>
      <c r="AV50" s="34">
        <f>'[1]Mezišachetní úsek'!Y52</f>
        <v>0</v>
      </c>
      <c r="AW50" s="34">
        <f>IF(AT50="ano",AU50*C50*0.1,"není")</f>
        <v>0.64288400000000012</v>
      </c>
      <c r="AX50" s="34">
        <f>'[1]Mezišachetní úsek'!AA52</f>
        <v>0</v>
      </c>
      <c r="AY50" s="34"/>
      <c r="AZ50" s="34">
        <f t="shared" si="7"/>
        <v>0</v>
      </c>
      <c r="BA50" s="154" t="str">
        <f>B50</f>
        <v>Š20b-nástupiště</v>
      </c>
      <c r="BD50" s="154" t="str">
        <f t="shared" si="8"/>
        <v>Š20b-nástupiště</v>
      </c>
      <c r="BE50" s="13" t="str">
        <f t="shared" si="9"/>
        <v>nebude</v>
      </c>
      <c r="BF50" s="13">
        <f>IF(BE50="ano",(2*AA50+0.3+2*AB50)*C50*1.2,0)</f>
        <v>0</v>
      </c>
      <c r="BG50" s="13"/>
      <c r="BH50" s="13" t="str">
        <f t="shared" si="10"/>
        <v>nebude</v>
      </c>
      <c r="BI50" s="13">
        <f t="shared" si="11"/>
        <v>0</v>
      </c>
      <c r="BK50" s="13">
        <f>IF(BJ50="ano",AU50*C50,0)</f>
        <v>0</v>
      </c>
      <c r="BM50">
        <f>IF(BL50="ano",(AA50+AB50*2)*C50,0)</f>
        <v>0</v>
      </c>
    </row>
    <row r="51" spans="1:65" ht="15.75" x14ac:dyDescent="0.25">
      <c r="B51" s="84"/>
      <c r="C51" s="192"/>
      <c r="D51" s="237"/>
      <c r="F51" s="415">
        <f t="shared" si="1"/>
        <v>0</v>
      </c>
      <c r="G51" s="416">
        <f t="shared" si="2"/>
        <v>0</v>
      </c>
      <c r="H51" s="416"/>
      <c r="I51" s="416"/>
      <c r="J51" s="416"/>
      <c r="K51" s="416">
        <f t="shared" si="12"/>
        <v>0</v>
      </c>
      <c r="L51" s="72">
        <f>'Mezišachetní úsek'!H53</f>
        <v>0</v>
      </c>
      <c r="M51" s="72">
        <f>'Mezišachetní úsek'!I53</f>
        <v>0</v>
      </c>
      <c r="N51" s="72"/>
      <c r="O51" s="72"/>
      <c r="P51" s="416">
        <f t="shared" si="13"/>
        <v>0</v>
      </c>
      <c r="Q51" s="72">
        <f>'Mezišachetní úsek'!J53</f>
        <v>0</v>
      </c>
      <c r="R51" s="72">
        <f>'Mezišachetní úsek'!K53</f>
        <v>0</v>
      </c>
      <c r="S51" s="72">
        <f>'Mezišachetní úsek'!L53</f>
        <v>0</v>
      </c>
      <c r="T51" s="72">
        <f>'Mezišachetní úsek'!M53</f>
        <v>0</v>
      </c>
      <c r="U51" s="72">
        <f>'Mezišachetní úsek'!N53</f>
        <v>0</v>
      </c>
      <c r="V51" s="72">
        <f>'Mezišachetní úsek'!O53</f>
        <v>0</v>
      </c>
      <c r="W51" s="72">
        <f>'Mezišachetní úsek'!P53</f>
        <v>0</v>
      </c>
      <c r="X51" s="72">
        <f>'Mezišachetní úsek'!Q53</f>
        <v>0</v>
      </c>
      <c r="Y51" s="380"/>
      <c r="AA51">
        <f t="shared" si="3"/>
        <v>0</v>
      </c>
      <c r="AB51">
        <f t="shared" si="4"/>
        <v>0</v>
      </c>
      <c r="AC51">
        <f t="shared" si="5"/>
        <v>0</v>
      </c>
      <c r="AD51" s="395"/>
      <c r="AE51" s="396"/>
      <c r="AF51" s="397"/>
      <c r="AG51" s="398">
        <f>L51*0.055*0.055*3.14</f>
        <v>0</v>
      </c>
      <c r="AH51" s="399">
        <f>Q51*0.08*0.08*3.14</f>
        <v>0</v>
      </c>
      <c r="AI51" s="398">
        <f>W51*0.35*0.35</f>
        <v>0</v>
      </c>
      <c r="AJ51" s="397"/>
      <c r="AK51" s="400">
        <f>AA51*AB51</f>
        <v>0</v>
      </c>
      <c r="AL51" s="34">
        <f t="shared" si="6"/>
        <v>0</v>
      </c>
      <c r="AM51" s="34">
        <f>(AK51-AL51)*C51</f>
        <v>0</v>
      </c>
      <c r="AN51" s="235"/>
      <c r="AO51" s="34">
        <f>IF(AN51="ano",(2*AA51+0.3+2*AB51)*C51*1.2,0)</f>
        <v>0</v>
      </c>
      <c r="AP51" s="34" t="s">
        <v>249</v>
      </c>
      <c r="AQ51" s="34">
        <f>D51</f>
        <v>0</v>
      </c>
      <c r="AR51" s="34">
        <f>IF(AP51="ano",((AA51+0.2)*(AB51+0.1)-AA51*AB51)*C51,0)</f>
        <v>0</v>
      </c>
      <c r="AS51" s="34">
        <f>IF(AR51&gt;0.001,(AA51+2*AB51)*C51*1.25,0)</f>
        <v>0</v>
      </c>
      <c r="AU51" s="13">
        <f>IF(AT51="ano",AK51+$AU$20,0)</f>
        <v>0</v>
      </c>
      <c r="AV51" s="34">
        <f>'[1]Mezišachetní úsek'!Y53</f>
        <v>1</v>
      </c>
      <c r="AW51" s="34" t="str">
        <f>IF(AT51="ano",AU51*C51*0.1,"není")</f>
        <v>není</v>
      </c>
      <c r="AX51" s="34">
        <f>'[1]Mezišachetní úsek'!AA53</f>
        <v>11</v>
      </c>
      <c r="AY51" s="34"/>
      <c r="AZ51" s="34">
        <f t="shared" si="7"/>
        <v>0</v>
      </c>
      <c r="BA51" s="154">
        <f>B51</f>
        <v>0</v>
      </c>
      <c r="BD51" s="154">
        <f t="shared" si="8"/>
        <v>0</v>
      </c>
      <c r="BE51" s="13">
        <f t="shared" si="9"/>
        <v>0</v>
      </c>
      <c r="BF51" s="13">
        <f>IF(BE51="ano",(2*AA51+0.3+2*AB51)*C51*1.2,0)</f>
        <v>0</v>
      </c>
      <c r="BG51" s="13"/>
      <c r="BH51" s="13">
        <f t="shared" si="10"/>
        <v>0</v>
      </c>
      <c r="BI51" s="13">
        <f t="shared" si="11"/>
        <v>0</v>
      </c>
      <c r="BK51" s="13">
        <f>IF(BJ51="ano",AU51*C51,0)</f>
        <v>0</v>
      </c>
      <c r="BM51">
        <f>IF(BL51="ano",(AA51+AB51*2)*C51,0)</f>
        <v>0</v>
      </c>
    </row>
    <row r="52" spans="1:65" ht="15.75" x14ac:dyDescent="0.25">
      <c r="B52" s="84" t="s">
        <v>230</v>
      </c>
      <c r="C52" s="192">
        <v>14.15</v>
      </c>
      <c r="D52" s="238" t="s">
        <v>190</v>
      </c>
      <c r="F52" s="415">
        <f t="shared" si="1"/>
        <v>1.5</v>
      </c>
      <c r="G52" s="416">
        <f t="shared" si="2"/>
        <v>1</v>
      </c>
      <c r="H52" s="416"/>
      <c r="I52" s="416"/>
      <c r="J52" s="416"/>
      <c r="K52" s="416">
        <f t="shared" si="12"/>
        <v>0</v>
      </c>
      <c r="L52" s="72">
        <f>'Mezišachetní úsek'!H54</f>
        <v>0</v>
      </c>
      <c r="M52" s="72">
        <f>'Mezišachetní úsek'!I54</f>
        <v>0</v>
      </c>
      <c r="N52" s="72"/>
      <c r="O52" s="72"/>
      <c r="P52" s="416">
        <f t="shared" si="13"/>
        <v>0</v>
      </c>
      <c r="Q52" s="72">
        <f>'Mezišachetní úsek'!J54</f>
        <v>0</v>
      </c>
      <c r="R52" s="72">
        <f>'Mezišachetní úsek'!K54</f>
        <v>0</v>
      </c>
      <c r="S52" s="72">
        <f>'Mezišachetní úsek'!L54</f>
        <v>0</v>
      </c>
      <c r="T52" s="72">
        <f>'Mezišachetní úsek'!M54</f>
        <v>0</v>
      </c>
      <c r="U52" s="72">
        <f>'Mezišachetní úsek'!N54</f>
        <v>3</v>
      </c>
      <c r="V52" s="72">
        <f>'Mezišachetní úsek'!O54</f>
        <v>2</v>
      </c>
      <c r="W52" s="72">
        <f>'Mezišachetní úsek'!P54</f>
        <v>6</v>
      </c>
      <c r="X52" s="72">
        <f>'Mezišachetní úsek'!Q54</f>
        <v>90</v>
      </c>
      <c r="Y52" s="380"/>
      <c r="Z52" t="s">
        <v>184</v>
      </c>
      <c r="AA52">
        <f t="shared" si="3"/>
        <v>1.7</v>
      </c>
      <c r="AB52">
        <f t="shared" si="4"/>
        <v>1.1000000000000001</v>
      </c>
      <c r="AC52" t="str">
        <f t="shared" si="5"/>
        <v>Š20-Š21</v>
      </c>
      <c r="AD52" s="395"/>
      <c r="AE52" s="396"/>
      <c r="AF52" s="397"/>
      <c r="AG52" s="398">
        <f>L52*0.055*0.055*3.14</f>
        <v>0</v>
      </c>
      <c r="AH52" s="399">
        <f>Q52*0.08*0.08*3.14</f>
        <v>0</v>
      </c>
      <c r="AI52" s="398">
        <f>W52*0.35*0.35</f>
        <v>0.73499999999999988</v>
      </c>
      <c r="AJ52" s="397"/>
      <c r="AK52" s="400">
        <f>AA52*AB52</f>
        <v>1.87</v>
      </c>
      <c r="AL52" s="34">
        <f t="shared" si="6"/>
        <v>0.73499999999999988</v>
      </c>
      <c r="AM52" s="34">
        <f>(AK52-AL52)*C52</f>
        <v>16.060250000000003</v>
      </c>
      <c r="AN52" s="235" t="s">
        <v>184</v>
      </c>
      <c r="AO52" s="34">
        <f>IF(AN52="ano",(2*AA52+0.3+2*AB52)*C52*1.2,0)</f>
        <v>100.18200000000002</v>
      </c>
      <c r="AP52" s="34" t="s">
        <v>184</v>
      </c>
      <c r="AQ52" s="34" t="str">
        <f>D52</f>
        <v>Pod kolejemi</v>
      </c>
      <c r="AR52" s="34">
        <f>IF(AP52="ano",((AA52+0.2)*(AB52+0.1)-AA52*AB52)*C52,0)</f>
        <v>5.8015000000000025</v>
      </c>
      <c r="AS52" s="34">
        <f>IF(AR52&gt;0.001,(AA52+2*AB52)*C52*1.25,0)</f>
        <v>68.981250000000017</v>
      </c>
      <c r="AT52" t="s">
        <v>184</v>
      </c>
      <c r="AU52" s="13">
        <f>IF(AT52="ano",AK52+$AU$20,0)</f>
        <v>2.67</v>
      </c>
      <c r="AV52" s="34">
        <f>'[1]Mezišachetní úsek'!Y54</f>
        <v>1</v>
      </c>
      <c r="AW52" s="34">
        <f>IF(AT52="ano",AU52*C52*0.1,"není")</f>
        <v>3.7780499999999999</v>
      </c>
      <c r="AX52" s="34">
        <f>'[1]Mezišachetní úsek'!AA54</f>
        <v>11</v>
      </c>
      <c r="AY52" s="34" t="s">
        <v>184</v>
      </c>
      <c r="AZ52" s="34">
        <f t="shared" si="7"/>
        <v>2.57</v>
      </c>
      <c r="BA52" s="154" t="str">
        <f>B52</f>
        <v>Š20-Š21</v>
      </c>
      <c r="BD52" s="154" t="str">
        <f t="shared" si="8"/>
        <v>Š20-Š21</v>
      </c>
      <c r="BE52" s="13" t="str">
        <f t="shared" si="9"/>
        <v>ano</v>
      </c>
      <c r="BF52" s="13">
        <f>IF(BE52="ano",(2*AA52+0.3+2*AB52)*C52*1.2,0)</f>
        <v>100.18200000000002</v>
      </c>
      <c r="BG52" s="13"/>
      <c r="BH52" s="13" t="str">
        <f t="shared" si="10"/>
        <v>ano</v>
      </c>
      <c r="BI52" s="13">
        <f t="shared" si="11"/>
        <v>200.36400000000003</v>
      </c>
      <c r="BJ52" t="s">
        <v>184</v>
      </c>
      <c r="BK52" s="13">
        <f>IF(BJ52="ano",AU52*C52,0)</f>
        <v>37.780499999999996</v>
      </c>
      <c r="BL52" t="s">
        <v>184</v>
      </c>
      <c r="BM52">
        <f>IF(BL52="ano",(AA52+AB52*2)*C52,0)</f>
        <v>55.185000000000009</v>
      </c>
    </row>
    <row r="53" spans="1:65" ht="15.75" x14ac:dyDescent="0.25">
      <c r="B53" s="84" t="s">
        <v>236</v>
      </c>
      <c r="C53" s="192">
        <v>29.81</v>
      </c>
      <c r="D53" s="237" t="s">
        <v>189</v>
      </c>
      <c r="F53" s="415">
        <f t="shared" si="1"/>
        <v>0.5</v>
      </c>
      <c r="G53" s="416">
        <f t="shared" si="2"/>
        <v>1</v>
      </c>
      <c r="H53" s="416"/>
      <c r="I53" s="416"/>
      <c r="J53" s="416"/>
      <c r="K53" s="416">
        <f t="shared" si="12"/>
        <v>0</v>
      </c>
      <c r="L53" s="72">
        <f>'Mezišachetní úsek'!H55</f>
        <v>0</v>
      </c>
      <c r="M53" s="72">
        <f>'Mezišachetní úsek'!I55</f>
        <v>0</v>
      </c>
      <c r="N53" s="72"/>
      <c r="O53" s="72"/>
      <c r="P53" s="416">
        <f t="shared" si="13"/>
        <v>0</v>
      </c>
      <c r="Q53" s="72">
        <f>'Mezišachetní úsek'!J55</f>
        <v>0</v>
      </c>
      <c r="R53" s="72">
        <f>'Mezišachetní úsek'!K55</f>
        <v>0</v>
      </c>
      <c r="S53" s="72">
        <f>'Mezišachetní úsek'!L55</f>
        <v>0</v>
      </c>
      <c r="T53" s="72">
        <f>'Mezišachetní úsek'!M55</f>
        <v>0</v>
      </c>
      <c r="U53" s="72">
        <f>'Mezišachetní úsek'!N55</f>
        <v>1</v>
      </c>
      <c r="V53" s="72">
        <f>'Mezišachetní úsek'!O55</f>
        <v>2</v>
      </c>
      <c r="W53" s="72">
        <f>'Mezišachetní úsek'!P55</f>
        <v>2</v>
      </c>
      <c r="X53" s="72">
        <f>'Mezišachetní úsek'!Q55</f>
        <v>62</v>
      </c>
      <c r="Y53" s="380"/>
      <c r="Z53" t="s">
        <v>184</v>
      </c>
      <c r="AA53">
        <f>IF(Z53="ano",F53+0.2,0)</f>
        <v>0.7</v>
      </c>
      <c r="AB53">
        <f t="shared" si="4"/>
        <v>1.1000000000000001</v>
      </c>
      <c r="AC53" t="str">
        <f t="shared" si="5"/>
        <v>Š21-Š21a</v>
      </c>
      <c r="AD53" s="395"/>
      <c r="AE53" s="396"/>
      <c r="AF53" s="397"/>
      <c r="AG53" s="398">
        <f>L53*0.055*0.055*3.14</f>
        <v>0</v>
      </c>
      <c r="AH53" s="399">
        <f>Q53*0.08*0.08*3.14</f>
        <v>0</v>
      </c>
      <c r="AI53" s="398">
        <f>W53*0.35*0.35</f>
        <v>0.24499999999999997</v>
      </c>
      <c r="AJ53" s="397"/>
      <c r="AK53" s="400">
        <f>AA53*AB53</f>
        <v>0.77</v>
      </c>
      <c r="AL53" s="34">
        <f t="shared" si="6"/>
        <v>0.24499999999999997</v>
      </c>
      <c r="AM53" s="34">
        <f>(AK53-AL53)*C53</f>
        <v>15.65025</v>
      </c>
      <c r="AN53" s="235" t="s">
        <v>183</v>
      </c>
      <c r="AO53" s="34">
        <f>IF(AN53="ano",(2*AA53+0.3+2*AB53)*C53*1.2,0)</f>
        <v>0</v>
      </c>
      <c r="AP53" s="34" t="s">
        <v>249</v>
      </c>
      <c r="AQ53" s="34" t="str">
        <f>D53</f>
        <v>nástupiště</v>
      </c>
      <c r="AR53" s="34">
        <f>IF(AP53="ano",((AA53+0.2)*(AB53+0.1)-AA53*AB53)*C53,0)</f>
        <v>0</v>
      </c>
      <c r="AS53" s="34">
        <f>IF(AR53&gt;0.001,(AA53+2*AB53)*C53*1.25,0)</f>
        <v>0</v>
      </c>
      <c r="AT53" t="s">
        <v>184</v>
      </c>
      <c r="AU53" s="13">
        <f>IF(AT53="ano",AK53+$AU$20,0)</f>
        <v>1.57</v>
      </c>
      <c r="AV53" s="34">
        <f>'[1]Mezišachetní úsek'!Y55</f>
        <v>0</v>
      </c>
      <c r="AW53" s="34">
        <f>IF(AT53="ano",AU53*C53*0.1,"není")</f>
        <v>4.6801699999999995</v>
      </c>
      <c r="AX53" s="34">
        <f>'[1]Mezišachetní úsek'!AA55</f>
        <v>0</v>
      </c>
      <c r="AY53" s="34"/>
      <c r="AZ53" s="34">
        <f t="shared" si="7"/>
        <v>0</v>
      </c>
      <c r="BA53" s="154" t="str">
        <f>B53</f>
        <v>Š21-Š21a</v>
      </c>
      <c r="BD53" s="154" t="str">
        <f t="shared" si="8"/>
        <v>Š21-Š21a</v>
      </c>
      <c r="BE53" s="13" t="str">
        <f t="shared" si="9"/>
        <v>nebude</v>
      </c>
      <c r="BF53" s="13">
        <f>IF(BE53="ano",(2*AA53+0.3+2*AB53)*C53*1.2,0)</f>
        <v>0</v>
      </c>
      <c r="BG53" s="13"/>
      <c r="BH53" s="13" t="str">
        <f t="shared" si="10"/>
        <v>nebude</v>
      </c>
      <c r="BI53" s="13">
        <f t="shared" si="11"/>
        <v>0</v>
      </c>
      <c r="BK53" s="13">
        <f>IF(BJ53="ano",AU53*C53,0)</f>
        <v>0</v>
      </c>
      <c r="BM53">
        <f>IF(BL53="ano",(AA53+AB53*2)*C53,0)</f>
        <v>0</v>
      </c>
    </row>
    <row r="54" spans="1:65" ht="15.75" x14ac:dyDescent="0.25">
      <c r="A54" s="402" t="s">
        <v>345</v>
      </c>
      <c r="B54" s="84" t="s">
        <v>301</v>
      </c>
      <c r="C54" s="192">
        <v>19.22</v>
      </c>
      <c r="D54" s="237" t="s">
        <v>189</v>
      </c>
      <c r="F54" s="415">
        <f t="shared" si="1"/>
        <v>0</v>
      </c>
      <c r="G54" s="416">
        <f t="shared" si="2"/>
        <v>0</v>
      </c>
      <c r="H54" s="416"/>
      <c r="I54" s="416"/>
      <c r="J54" s="416"/>
      <c r="K54" s="416">
        <f t="shared" si="12"/>
        <v>0</v>
      </c>
      <c r="L54" s="72">
        <f>'Mezišachetní úsek'!H56</f>
        <v>0</v>
      </c>
      <c r="M54" s="72">
        <f>'Mezišachetní úsek'!I56</f>
        <v>0</v>
      </c>
      <c r="N54" s="72"/>
      <c r="O54" s="72"/>
      <c r="P54" s="416">
        <f t="shared" si="13"/>
        <v>0</v>
      </c>
      <c r="Q54" s="72">
        <f>'Mezišachetní úsek'!J56</f>
        <v>0</v>
      </c>
      <c r="R54" s="72">
        <f>'Mezišachetní úsek'!K56</f>
        <v>0</v>
      </c>
      <c r="S54" s="72">
        <f>'Mezišachetní úsek'!L56</f>
        <v>0</v>
      </c>
      <c r="T54" s="72">
        <f>'Mezišachetní úsek'!M56</f>
        <v>0</v>
      </c>
      <c r="U54" s="72">
        <f>'Mezišachetní úsek'!N56</f>
        <v>0</v>
      </c>
      <c r="V54" s="72">
        <f>'Mezišachetní úsek'!O56</f>
        <v>0</v>
      </c>
      <c r="W54" s="72">
        <f>'Mezišachetní úsek'!P56</f>
        <v>0</v>
      </c>
      <c r="X54" s="72">
        <f>'Mezišachetní úsek'!Q56</f>
        <v>0</v>
      </c>
      <c r="Y54" s="380"/>
      <c r="Z54" t="s">
        <v>184</v>
      </c>
      <c r="AA54">
        <f t="shared" si="3"/>
        <v>0.2</v>
      </c>
      <c r="AB54">
        <f t="shared" si="4"/>
        <v>0.1</v>
      </c>
      <c r="AC54" t="str">
        <f t="shared" si="5"/>
        <v>Š21a-Š21b</v>
      </c>
      <c r="AD54" s="395"/>
      <c r="AE54" s="396"/>
      <c r="AF54" s="397"/>
      <c r="AG54" s="398">
        <f>L54*0.055*0.055*3.14</f>
        <v>0</v>
      </c>
      <c r="AH54" s="399">
        <f>Q54*0.08*0.08*3.14</f>
        <v>0</v>
      </c>
      <c r="AI54" s="398">
        <f>W54*0.35*0.35</f>
        <v>0</v>
      </c>
      <c r="AJ54" s="397"/>
      <c r="AK54" s="400">
        <f>AA54*AB54</f>
        <v>2.0000000000000004E-2</v>
      </c>
      <c r="AL54" s="34">
        <f t="shared" si="6"/>
        <v>0</v>
      </c>
      <c r="AM54" s="34">
        <f>(AK54-AL54)*C54</f>
        <v>0.38440000000000007</v>
      </c>
      <c r="AN54" s="235" t="s">
        <v>183</v>
      </c>
      <c r="AO54" s="34">
        <f>IF(AN54="ano",(2*AA54+0.3+2*AB54)*C54*1.2,0)</f>
        <v>0</v>
      </c>
      <c r="AP54" s="34" t="s">
        <v>249</v>
      </c>
      <c r="AQ54" s="34" t="str">
        <f>D54</f>
        <v>nástupiště</v>
      </c>
      <c r="AR54" s="34">
        <f>IF(AP54="ano",((AA54+0.2)*(AB54+0.1)-AA54*AB54)*C54,0)</f>
        <v>0</v>
      </c>
      <c r="AS54" s="34">
        <f>IF(AR54&gt;0.001,(AA54+2*AB54)*C54*1.25,0)</f>
        <v>0</v>
      </c>
      <c r="AT54" t="s">
        <v>184</v>
      </c>
      <c r="AU54" s="13">
        <f>IF(AT54="ano",AK54+$AU$20,0)</f>
        <v>0.82000000000000006</v>
      </c>
      <c r="AV54" s="34">
        <f>'[1]Mezišachetní úsek'!Y56</f>
        <v>1.1000000000000001</v>
      </c>
      <c r="AW54" s="34">
        <f>IF(AT54="ano",AU54*C54*0.1,"není")</f>
        <v>1.5760400000000001</v>
      </c>
      <c r="AX54" s="34">
        <f>'[1]Mezišachetní úsek'!AA56</f>
        <v>12.100000000000001</v>
      </c>
      <c r="AY54" s="34"/>
      <c r="AZ54" s="34">
        <f t="shared" si="7"/>
        <v>0</v>
      </c>
      <c r="BA54" s="154"/>
      <c r="BD54" s="154">
        <f t="shared" si="8"/>
        <v>0</v>
      </c>
      <c r="BE54" s="13" t="str">
        <f t="shared" si="9"/>
        <v>nebude</v>
      </c>
      <c r="BF54" s="13">
        <f>IF(BE54="ano",(2*AA54+0.3+2*AB54)*C54*1.2,0)</f>
        <v>0</v>
      </c>
      <c r="BG54" s="13"/>
      <c r="BH54" s="13" t="str">
        <f t="shared" si="10"/>
        <v>nebude</v>
      </c>
      <c r="BI54" s="13">
        <f t="shared" si="11"/>
        <v>0</v>
      </c>
      <c r="BK54" s="13">
        <f>IF(BJ54="ano",AU54*C54,0)</f>
        <v>0</v>
      </c>
      <c r="BM54">
        <f>IF(BL54="ano",(AA54+AB54*2)*C54,0)</f>
        <v>0</v>
      </c>
    </row>
    <row r="55" spans="1:65" ht="15.75" x14ac:dyDescent="0.25">
      <c r="B55" s="84" t="s">
        <v>302</v>
      </c>
      <c r="C55" s="192">
        <v>7.64</v>
      </c>
      <c r="D55" s="237" t="s">
        <v>189</v>
      </c>
      <c r="F55" s="415">
        <f t="shared" si="1"/>
        <v>0.52499999999999991</v>
      </c>
      <c r="G55" s="416">
        <f t="shared" si="2"/>
        <v>1.0499999999999998</v>
      </c>
      <c r="H55" s="416"/>
      <c r="I55" s="416">
        <v>3</v>
      </c>
      <c r="J55" s="416">
        <v>6</v>
      </c>
      <c r="K55" s="416">
        <f t="shared" si="12"/>
        <v>0</v>
      </c>
      <c r="L55" s="72">
        <f>'Mezišachetní úsek'!H57</f>
        <v>18</v>
      </c>
      <c r="M55" s="72">
        <f>'Mezišachetní úsek'!I57</f>
        <v>162</v>
      </c>
      <c r="N55" s="72"/>
      <c r="O55" s="72"/>
      <c r="P55" s="416">
        <f t="shared" si="13"/>
        <v>0</v>
      </c>
      <c r="Q55" s="72">
        <f>'Mezišachetní úsek'!J57</f>
        <v>0</v>
      </c>
      <c r="R55" s="72">
        <f>'Mezišachetní úsek'!K57</f>
        <v>0</v>
      </c>
      <c r="S55" s="72">
        <f>'Mezišachetní úsek'!L57</f>
        <v>0</v>
      </c>
      <c r="T55" s="72">
        <f>'Mezišachetní úsek'!M57</f>
        <v>0</v>
      </c>
      <c r="U55" s="72">
        <f>'Mezišachetní úsek'!N57</f>
        <v>0</v>
      </c>
      <c r="V55" s="72">
        <f>'Mezišachetní úsek'!O57</f>
        <v>0</v>
      </c>
      <c r="W55" s="72">
        <f>'Mezišachetní úsek'!P57</f>
        <v>0</v>
      </c>
      <c r="X55" s="72">
        <f>'Mezišachetní úsek'!Q57</f>
        <v>0</v>
      </c>
      <c r="Y55" s="380"/>
      <c r="Z55" t="s">
        <v>184</v>
      </c>
      <c r="AA55">
        <f>IF(Z55="ano",F55+0.2,0)</f>
        <v>0.72499999999999987</v>
      </c>
      <c r="AB55">
        <f t="shared" si="4"/>
        <v>1.1499999999999999</v>
      </c>
      <c r="AC55" t="str">
        <f t="shared" si="5"/>
        <v>Š21b-nástupiště</v>
      </c>
      <c r="AD55" s="395"/>
      <c r="AE55" s="396"/>
      <c r="AF55" s="397"/>
      <c r="AG55" s="398">
        <f>L55*0.055*0.055*3.14</f>
        <v>0.17097300000000001</v>
      </c>
      <c r="AH55" s="399">
        <f>Q55*0.08*0.08*3.14</f>
        <v>0</v>
      </c>
      <c r="AI55" s="398">
        <f>W55*0.35*0.35</f>
        <v>0</v>
      </c>
      <c r="AJ55" s="397"/>
      <c r="AK55" s="400">
        <f>AA55*AB55</f>
        <v>0.83374999999999977</v>
      </c>
      <c r="AL55" s="34">
        <f t="shared" si="6"/>
        <v>0.17097300000000001</v>
      </c>
      <c r="AM55" s="34">
        <f>(AK55-AL55)*C55</f>
        <v>5.063616279999998</v>
      </c>
      <c r="AN55" s="235" t="s">
        <v>183</v>
      </c>
      <c r="AO55" s="34">
        <f>IF(AN55="ano",(2*AA55+0.3+2*AB55)*C55*1.2,0)</f>
        <v>0</v>
      </c>
      <c r="AP55" s="34" t="s">
        <v>249</v>
      </c>
      <c r="AQ55" s="34" t="str">
        <f>D55</f>
        <v>nástupiště</v>
      </c>
      <c r="AR55" s="34">
        <f>IF(AP55="ano",((AA55+0.2)*(AB55+0.1)-AA55*AB55)*C55,0)</f>
        <v>0</v>
      </c>
      <c r="AS55" s="34">
        <f>IF(AR55&gt;0.001,(AA55+2*AB55)*C55*1.25,0)</f>
        <v>0</v>
      </c>
      <c r="AT55" t="s">
        <v>184</v>
      </c>
      <c r="AU55" s="13">
        <f>IF(AT55="ano",AK55+$AU$20,0)</f>
        <v>1.6337499999999998</v>
      </c>
      <c r="AV55" s="34">
        <f>'[1]Mezišachetní úsek'!Y57</f>
        <v>4.7879999999999994</v>
      </c>
      <c r="AW55" s="34">
        <f>IF(AT55="ano",AU55*C55*0.1,"není")</f>
        <v>1.2481849999999999</v>
      </c>
      <c r="AX55" s="34">
        <f>'[1]Mezišachetní úsek'!AA57</f>
        <v>58.52</v>
      </c>
      <c r="AY55" s="34"/>
      <c r="AZ55" s="34">
        <f t="shared" si="7"/>
        <v>0</v>
      </c>
      <c r="BA55" s="154" t="str">
        <f>B55</f>
        <v>Š21b-nástupiště</v>
      </c>
      <c r="BD55" s="154" t="str">
        <f t="shared" si="8"/>
        <v>Š21b-nástupiště</v>
      </c>
      <c r="BE55" s="13" t="str">
        <f t="shared" si="9"/>
        <v>nebude</v>
      </c>
      <c r="BF55" s="13">
        <f>IF(BE55="ano",(2*AA55+0.3+2*AB55)*C55*1.2,0)</f>
        <v>0</v>
      </c>
      <c r="BG55" s="13"/>
      <c r="BH55" s="13" t="str">
        <f t="shared" si="10"/>
        <v>nebude</v>
      </c>
      <c r="BI55" s="13">
        <f t="shared" si="11"/>
        <v>0</v>
      </c>
      <c r="BK55" s="13">
        <f>IF(BJ55="ano",AU55*C55,0)</f>
        <v>0</v>
      </c>
      <c r="BM55">
        <f>IF(BL55="ano",(AA55+AB55*2)*C55,0)</f>
        <v>0</v>
      </c>
    </row>
    <row r="56" spans="1:65" ht="15.75" x14ac:dyDescent="0.25">
      <c r="A56" s="396"/>
      <c r="B56" s="84"/>
      <c r="C56" s="192"/>
      <c r="D56" s="237"/>
      <c r="F56" s="415">
        <f t="shared" si="1"/>
        <v>0</v>
      </c>
      <c r="G56" s="416">
        <f t="shared" si="2"/>
        <v>0</v>
      </c>
      <c r="H56" s="416"/>
      <c r="I56" s="416"/>
      <c r="J56" s="416"/>
      <c r="K56" s="416">
        <f t="shared" si="12"/>
        <v>0</v>
      </c>
      <c r="L56" s="72">
        <f>'Mezišachetní úsek'!H58</f>
        <v>0</v>
      </c>
      <c r="M56" s="72">
        <f>'Mezišachetní úsek'!I58</f>
        <v>0</v>
      </c>
      <c r="N56" s="72"/>
      <c r="O56" s="72"/>
      <c r="P56" s="416">
        <f t="shared" si="13"/>
        <v>0</v>
      </c>
      <c r="Q56" s="72">
        <f>'Mezišachetní úsek'!J58</f>
        <v>0</v>
      </c>
      <c r="R56" s="72">
        <f>'Mezišachetní úsek'!K58</f>
        <v>0</v>
      </c>
      <c r="S56" s="72">
        <f>'Mezišachetní úsek'!L58</f>
        <v>0</v>
      </c>
      <c r="T56" s="72">
        <f>'Mezišachetní úsek'!M58</f>
        <v>0</v>
      </c>
      <c r="U56" s="72">
        <f>'Mezišachetní úsek'!N58</f>
        <v>0</v>
      </c>
      <c r="V56" s="72">
        <f>'Mezišachetní úsek'!O58</f>
        <v>0</v>
      </c>
      <c r="W56" s="72">
        <f>'Mezišachetní úsek'!P58</f>
        <v>0</v>
      </c>
      <c r="X56" s="72">
        <f>'Mezišachetní úsek'!Q58</f>
        <v>0</v>
      </c>
      <c r="Y56" s="380"/>
      <c r="AA56">
        <f t="shared" si="3"/>
        <v>0</v>
      </c>
      <c r="AB56">
        <f t="shared" si="4"/>
        <v>0</v>
      </c>
      <c r="AC56">
        <f t="shared" si="5"/>
        <v>0</v>
      </c>
      <c r="AD56" s="395"/>
      <c r="AE56" s="396"/>
      <c r="AF56" s="397"/>
      <c r="AG56" s="398">
        <f>L56*0.055*0.055*3.14</f>
        <v>0</v>
      </c>
      <c r="AH56" s="399">
        <f>Q56*0.08*0.08*3.14</f>
        <v>0</v>
      </c>
      <c r="AI56" s="398">
        <f>W56*0.35*0.35</f>
        <v>0</v>
      </c>
      <c r="AJ56" s="397"/>
      <c r="AK56" s="400">
        <f>AA56*AB56</f>
        <v>0</v>
      </c>
      <c r="AL56" s="34">
        <f t="shared" si="6"/>
        <v>0</v>
      </c>
      <c r="AM56" s="34">
        <f>(AK56-AL56)*C56</f>
        <v>0</v>
      </c>
      <c r="AN56" s="235"/>
      <c r="AO56" s="34">
        <f>IF(AN56="ano",(2*AA56+0.3+2*AB56)*C56*1.2,0)</f>
        <v>0</v>
      </c>
      <c r="AP56" s="34" t="s">
        <v>249</v>
      </c>
      <c r="AQ56" s="34">
        <f>D56</f>
        <v>0</v>
      </c>
      <c r="AR56" s="34">
        <f>IF(AP56="ano",((AA56+0.2)*(AB56+0.1)-AA56*AB56)*C56,0)</f>
        <v>0</v>
      </c>
      <c r="AS56" s="34">
        <f>IF(AR56&gt;0.001,(AA56+2*AB56)*C56*1.25,0)</f>
        <v>0</v>
      </c>
      <c r="AU56" s="13">
        <f>IF(AT56="ano",AK56+$AU$20,0)</f>
        <v>0</v>
      </c>
      <c r="AV56" s="34">
        <f>'[1]Mezišachetní úsek'!Y58</f>
        <v>0</v>
      </c>
      <c r="AW56" s="34" t="str">
        <f>IF(AT56="ano",AU56*C56*0.1,"není")</f>
        <v>není</v>
      </c>
      <c r="AX56" s="34">
        <f>'[1]Mezišachetní úsek'!AA58</f>
        <v>0</v>
      </c>
      <c r="AY56" s="34"/>
      <c r="AZ56" s="34">
        <f t="shared" si="7"/>
        <v>0</v>
      </c>
      <c r="BA56" s="154">
        <f>B56</f>
        <v>0</v>
      </c>
      <c r="BD56" s="154">
        <f t="shared" si="8"/>
        <v>0</v>
      </c>
      <c r="BE56" s="13">
        <f t="shared" si="9"/>
        <v>0</v>
      </c>
      <c r="BF56" s="13">
        <f>IF(BE56="ano",(2*AA56+0.3+2*AB56)*C56*1.2,0)</f>
        <v>0</v>
      </c>
      <c r="BG56" s="13"/>
      <c r="BH56" s="13">
        <f t="shared" si="10"/>
        <v>0</v>
      </c>
      <c r="BI56" s="13">
        <f t="shared" si="11"/>
        <v>0</v>
      </c>
      <c r="BK56" s="13">
        <f>IF(BJ56="ano",AU56*C56,0)</f>
        <v>0</v>
      </c>
      <c r="BM56">
        <f>IF(BL56="ano",(AA56+AB56*2)*C56,0)</f>
        <v>0</v>
      </c>
    </row>
    <row r="57" spans="1:65" ht="15.75" x14ac:dyDescent="0.25">
      <c r="B57" s="84" t="s">
        <v>160</v>
      </c>
      <c r="C57" s="192">
        <v>12.99</v>
      </c>
      <c r="D57" s="238" t="s">
        <v>190</v>
      </c>
      <c r="F57" s="415">
        <f t="shared" si="1"/>
        <v>1.5</v>
      </c>
      <c r="G57" s="416">
        <f t="shared" si="2"/>
        <v>1</v>
      </c>
      <c r="H57" s="416"/>
      <c r="I57" s="416"/>
      <c r="J57" s="416"/>
      <c r="K57" s="416">
        <f t="shared" si="12"/>
        <v>0</v>
      </c>
      <c r="L57" s="72">
        <f>'Mezišachetní úsek'!H59</f>
        <v>0</v>
      </c>
      <c r="M57" s="72">
        <f>'Mezišachetní úsek'!I59</f>
        <v>0</v>
      </c>
      <c r="N57" s="72"/>
      <c r="O57" s="72"/>
      <c r="P57" s="416">
        <f t="shared" si="13"/>
        <v>0</v>
      </c>
      <c r="Q57" s="72">
        <f>'Mezišachetní úsek'!J59</f>
        <v>0</v>
      </c>
      <c r="R57" s="72">
        <f>'Mezišachetní úsek'!K59</f>
        <v>0</v>
      </c>
      <c r="S57" s="72">
        <f>'Mezišachetní úsek'!L59</f>
        <v>0</v>
      </c>
      <c r="T57" s="72">
        <f>'Mezišachetní úsek'!M59</f>
        <v>0</v>
      </c>
      <c r="U57" s="72">
        <f>'Mezišachetní úsek'!N59</f>
        <v>3</v>
      </c>
      <c r="V57" s="72">
        <f>'Mezišachetní úsek'!O59</f>
        <v>2</v>
      </c>
      <c r="W57" s="72">
        <f>'Mezišachetní úsek'!P59</f>
        <v>6</v>
      </c>
      <c r="X57" s="72">
        <f>'Mezišachetní úsek'!Q59</f>
        <v>84</v>
      </c>
      <c r="Y57" s="380"/>
      <c r="Z57" t="s">
        <v>184</v>
      </c>
      <c r="AA57">
        <f>IF(Z57="ano",F57+0.2,0)</f>
        <v>1.7</v>
      </c>
      <c r="AB57">
        <f t="shared" si="4"/>
        <v>1.1000000000000001</v>
      </c>
      <c r="AC57" t="str">
        <f t="shared" si="5"/>
        <v>Š21-Š22</v>
      </c>
      <c r="AD57" s="395"/>
      <c r="AE57" s="396"/>
      <c r="AF57" s="397"/>
      <c r="AG57" s="398">
        <f>L57*0.055*0.055*3.14</f>
        <v>0</v>
      </c>
      <c r="AH57" s="399">
        <f>Q57*0.08*0.08*3.14</f>
        <v>0</v>
      </c>
      <c r="AI57" s="398">
        <f>W57*0.35*0.35</f>
        <v>0.73499999999999988</v>
      </c>
      <c r="AJ57" s="397"/>
      <c r="AK57" s="400">
        <f>AA57*AB57</f>
        <v>1.87</v>
      </c>
      <c r="AL57" s="34">
        <f t="shared" si="6"/>
        <v>0.73499999999999988</v>
      </c>
      <c r="AM57" s="34">
        <f>(AK57-AL57)*C57</f>
        <v>14.743650000000002</v>
      </c>
      <c r="AN57" s="235" t="s">
        <v>184</v>
      </c>
      <c r="AO57" s="34">
        <f>IF(AN57="ano",(2*AA57+0.3+2*AB57)*C57*1.2,0)</f>
        <v>91.969200000000001</v>
      </c>
      <c r="AP57" s="34" t="s">
        <v>184</v>
      </c>
      <c r="AQ57" s="34" t="str">
        <f>D57</f>
        <v>Pod kolejemi</v>
      </c>
      <c r="AR57" s="34">
        <f>IF(AP57="ano",((AA57+0.2)*(AB57+0.1)-AA57*AB57)*C57,0)</f>
        <v>5.3259000000000016</v>
      </c>
      <c r="AS57" s="34">
        <f>IF(AR57&gt;0.001,(AA57+2*AB57)*C57*1.25,0)</f>
        <v>63.326250000000009</v>
      </c>
      <c r="AT57" t="s">
        <v>184</v>
      </c>
      <c r="AU57" s="13">
        <f>IF(AT57="ano",AK57+$AU$20,0)</f>
        <v>2.67</v>
      </c>
      <c r="AV57" s="34">
        <f>'[1]Mezišachetní úsek'!Y59</f>
        <v>0</v>
      </c>
      <c r="AW57" s="34">
        <f>IF(AT57="ano",AU57*C57*0.1,"není")</f>
        <v>3.4683300000000004</v>
      </c>
      <c r="AX57" s="34">
        <f>'[1]Mezišachetní úsek'!AA59</f>
        <v>0</v>
      </c>
      <c r="AY57" s="34" t="s">
        <v>184</v>
      </c>
      <c r="AZ57" s="34">
        <f t="shared" si="7"/>
        <v>2.57</v>
      </c>
      <c r="BA57" s="154" t="str">
        <f>B57</f>
        <v>Š21-Š22</v>
      </c>
      <c r="BD57" s="154" t="str">
        <f t="shared" si="8"/>
        <v>Š21-Š22</v>
      </c>
      <c r="BE57" s="13" t="str">
        <f t="shared" si="9"/>
        <v>ano</v>
      </c>
      <c r="BF57" s="13">
        <f>IF(BE57="ano",(2*AA57+0.3+2*AB57)*C57*1.2,0)</f>
        <v>91.969200000000001</v>
      </c>
      <c r="BG57" s="13"/>
      <c r="BH57" s="13" t="str">
        <f t="shared" si="10"/>
        <v>ano</v>
      </c>
      <c r="BI57" s="13">
        <f t="shared" si="11"/>
        <v>183.9384</v>
      </c>
      <c r="BJ57" t="s">
        <v>184</v>
      </c>
      <c r="BK57" s="13">
        <f>IF(BJ57="ano",AU57*C57,0)</f>
        <v>34.683300000000003</v>
      </c>
      <c r="BL57" t="s">
        <v>184</v>
      </c>
      <c r="BM57">
        <f>IF(BL57="ano",(AA57+AB57*2)*C57,0)</f>
        <v>50.661000000000008</v>
      </c>
    </row>
    <row r="58" spans="1:65" ht="15.75" x14ac:dyDescent="0.25">
      <c r="A58" t="s">
        <v>346</v>
      </c>
      <c r="B58" s="84" t="s">
        <v>161</v>
      </c>
      <c r="C58" s="192">
        <v>32.68</v>
      </c>
      <c r="D58" s="237" t="s">
        <v>189</v>
      </c>
      <c r="F58" s="415">
        <f t="shared" si="1"/>
        <v>1</v>
      </c>
      <c r="G58" s="416">
        <f t="shared" si="2"/>
        <v>1.5</v>
      </c>
      <c r="H58" s="416"/>
      <c r="I58" s="416"/>
      <c r="J58" s="416"/>
      <c r="K58" s="416">
        <f t="shared" si="12"/>
        <v>0</v>
      </c>
      <c r="L58" s="72">
        <f>'Mezišachetní úsek'!H60</f>
        <v>0</v>
      </c>
      <c r="M58" s="72">
        <f>'Mezišachetní úsek'!I60</f>
        <v>0</v>
      </c>
      <c r="N58" s="72"/>
      <c r="O58" s="72"/>
      <c r="P58" s="416">
        <f t="shared" si="13"/>
        <v>0</v>
      </c>
      <c r="Q58" s="72">
        <f>'Mezišachetní úsek'!J60</f>
        <v>0</v>
      </c>
      <c r="R58" s="72">
        <f>'Mezišachetní úsek'!K60</f>
        <v>0</v>
      </c>
      <c r="S58" s="72">
        <f>'Mezišachetní úsek'!L60</f>
        <v>0</v>
      </c>
      <c r="T58" s="72">
        <f>'Mezišachetní úsek'!M60</f>
        <v>0</v>
      </c>
      <c r="U58" s="72">
        <f>'Mezišachetní úsek'!N60</f>
        <v>2</v>
      </c>
      <c r="V58" s="72">
        <f>'Mezišachetní úsek'!O60</f>
        <v>3</v>
      </c>
      <c r="W58" s="72">
        <f>'Mezišachetní úsek'!P60</f>
        <v>6</v>
      </c>
      <c r="X58" s="72">
        <f>'Mezišachetní úsek'!Q60</f>
        <v>204</v>
      </c>
      <c r="Y58" s="380"/>
      <c r="Z58" t="s">
        <v>184</v>
      </c>
      <c r="AA58">
        <f t="shared" si="3"/>
        <v>1.2</v>
      </c>
      <c r="AB58">
        <f t="shared" si="4"/>
        <v>1.6</v>
      </c>
      <c r="AC58" t="str">
        <f t="shared" si="5"/>
        <v>Š22-Š23</v>
      </c>
      <c r="AD58" s="395"/>
      <c r="AE58" s="396"/>
      <c r="AF58" s="397"/>
      <c r="AG58" s="398">
        <f>L58*0.055*0.055*3.14</f>
        <v>0</v>
      </c>
      <c r="AH58" s="399">
        <f>Q58*0.08*0.08*3.14</f>
        <v>0</v>
      </c>
      <c r="AI58" s="398">
        <f>W58*0.35*0.35</f>
        <v>0.73499999999999988</v>
      </c>
      <c r="AJ58" s="397"/>
      <c r="AK58" s="400">
        <f>AA58*AB58</f>
        <v>1.92</v>
      </c>
      <c r="AL58" s="34">
        <f t="shared" si="6"/>
        <v>0.73499999999999988</v>
      </c>
      <c r="AM58" s="34">
        <f>(AK58-AL58)*C58</f>
        <v>38.7258</v>
      </c>
      <c r="AN58" s="235" t="s">
        <v>183</v>
      </c>
      <c r="AO58" s="34">
        <f>IF(AN58="ano",(2*AA58+0.3+2*AB58)*C58*1.2,0)</f>
        <v>0</v>
      </c>
      <c r="AP58" s="34" t="s">
        <v>249</v>
      </c>
      <c r="AQ58" s="34" t="str">
        <f>D58</f>
        <v>nástupiště</v>
      </c>
      <c r="AR58" s="34">
        <f>IF(AP58="ano",((AA58+0.2)*(AB58+0.1)-AA58*AB58)*C58,0)</f>
        <v>0</v>
      </c>
      <c r="AS58" s="34">
        <f>IF(AR58&gt;0.001,(AA58+2*AB58)*C58*1.25,0)</f>
        <v>0</v>
      </c>
      <c r="AT58" t="s">
        <v>184</v>
      </c>
      <c r="AU58" s="13">
        <f>IF(AT58="ano",AK58+$AU$20,0)</f>
        <v>2.7199999999999998</v>
      </c>
      <c r="AV58" s="34">
        <f>'[1]Mezišachetní úsek'!Y60</f>
        <v>1</v>
      </c>
      <c r="AW58" s="34">
        <f>IF(AT58="ano",AU58*C58*0.1,"není")</f>
        <v>8.8889599999999991</v>
      </c>
      <c r="AX58" s="34">
        <f>'[1]Mezišachetní úsek'!AA60</f>
        <v>11</v>
      </c>
      <c r="AY58" s="34"/>
      <c r="AZ58" s="34">
        <f t="shared" si="7"/>
        <v>0</v>
      </c>
      <c r="BA58" s="154" t="str">
        <f>B58</f>
        <v>Š22-Š23</v>
      </c>
      <c r="BD58" s="154" t="str">
        <f t="shared" si="8"/>
        <v>Š22-Š23</v>
      </c>
      <c r="BE58" s="13" t="str">
        <f t="shared" si="9"/>
        <v>nebude</v>
      </c>
      <c r="BF58" s="13">
        <f>IF(BE58="ano",(2*AA58+0.3+2*AB58)*C58*1.2,0)</f>
        <v>0</v>
      </c>
      <c r="BG58" s="13"/>
      <c r="BH58" s="13" t="str">
        <f t="shared" si="10"/>
        <v>nebude</v>
      </c>
      <c r="BI58" s="13">
        <f t="shared" si="11"/>
        <v>0</v>
      </c>
      <c r="BJ58" t="s">
        <v>184</v>
      </c>
      <c r="BK58" s="13">
        <f>IF(BJ58="ano",AU58*C58,0)</f>
        <v>88.889599999999987</v>
      </c>
      <c r="BL58" t="s">
        <v>184</v>
      </c>
      <c r="BM58">
        <f>IF(BL58="ano",(AA58+AB58*2)*C58,0)</f>
        <v>143.792</v>
      </c>
    </row>
    <row r="59" spans="1:65" ht="15.75" x14ac:dyDescent="0.25">
      <c r="B59" s="84" t="s">
        <v>162</v>
      </c>
      <c r="C59" s="192">
        <v>25.64</v>
      </c>
      <c r="D59" s="237" t="s">
        <v>189</v>
      </c>
      <c r="F59" s="415">
        <f t="shared" si="1"/>
        <v>1</v>
      </c>
      <c r="G59" s="416">
        <f t="shared" si="2"/>
        <v>1</v>
      </c>
      <c r="H59" s="416"/>
      <c r="I59" s="416"/>
      <c r="J59" s="416"/>
      <c r="K59" s="416">
        <f t="shared" si="12"/>
        <v>0</v>
      </c>
      <c r="L59" s="72">
        <f>'Mezišachetní úsek'!H61</f>
        <v>0</v>
      </c>
      <c r="M59" s="72">
        <f>'Mezišachetní úsek'!I61</f>
        <v>0</v>
      </c>
      <c r="N59" s="72"/>
      <c r="O59" s="72"/>
      <c r="P59" s="416">
        <f t="shared" si="13"/>
        <v>0</v>
      </c>
      <c r="Q59" s="72">
        <f>'Mezišachetní úsek'!J61</f>
        <v>0</v>
      </c>
      <c r="R59" s="72">
        <f>'Mezišachetní úsek'!K61</f>
        <v>0</v>
      </c>
      <c r="S59" s="72">
        <f>'Mezišachetní úsek'!L61</f>
        <v>0</v>
      </c>
      <c r="T59" s="72">
        <f>'Mezišachetní úsek'!M61</f>
        <v>0</v>
      </c>
      <c r="U59" s="72">
        <f>'Mezišachetní úsek'!N61</f>
        <v>2</v>
      </c>
      <c r="V59" s="72">
        <f>'Mezišachetní úsek'!O61</f>
        <v>2</v>
      </c>
      <c r="W59" s="72">
        <f>'Mezišachetní úsek'!P61</f>
        <v>4</v>
      </c>
      <c r="X59" s="72">
        <f>'Mezišachetní úsek'!Q61</f>
        <v>108</v>
      </c>
      <c r="Y59" s="380"/>
      <c r="Z59" t="s">
        <v>184</v>
      </c>
      <c r="AA59">
        <f t="shared" si="3"/>
        <v>1.2</v>
      </c>
      <c r="AB59">
        <f t="shared" si="4"/>
        <v>1.1000000000000001</v>
      </c>
      <c r="AC59" t="str">
        <f t="shared" si="5"/>
        <v>Š23-Š24</v>
      </c>
      <c r="AD59" s="395"/>
      <c r="AE59" s="396"/>
      <c r="AF59" s="397"/>
      <c r="AG59" s="398">
        <f>L59*0.055*0.055*3.14</f>
        <v>0</v>
      </c>
      <c r="AH59" s="399">
        <f>Q59*0.08*0.08*3.14</f>
        <v>0</v>
      </c>
      <c r="AI59" s="398">
        <f>W59*0.35*0.35</f>
        <v>0.48999999999999994</v>
      </c>
      <c r="AJ59" s="397"/>
      <c r="AK59" s="400">
        <f>AA59*AB59</f>
        <v>1.32</v>
      </c>
      <c r="AL59" s="34">
        <f t="shared" si="6"/>
        <v>0.48999999999999994</v>
      </c>
      <c r="AM59" s="34">
        <f>(AK59-AL59)*C59</f>
        <v>21.281200000000002</v>
      </c>
      <c r="AN59" s="235" t="s">
        <v>183</v>
      </c>
      <c r="AO59" s="34">
        <f>IF(AN59="ano",(2*AA59+0.3+2*AB59)*C59*1.2,0)</f>
        <v>0</v>
      </c>
      <c r="AP59" s="34" t="s">
        <v>249</v>
      </c>
      <c r="AQ59" s="34" t="str">
        <f>D59</f>
        <v>nástupiště</v>
      </c>
      <c r="AR59" s="34">
        <f>IF(AP59="ano",((AA59+0.2)*(AB59+0.1)-AA59*AB59)*C59,0)</f>
        <v>0</v>
      </c>
      <c r="AS59" s="34">
        <f>IF(AR59&gt;0.001,(AA59+2*AB59)*C59*1.25,0)</f>
        <v>0</v>
      </c>
      <c r="AT59" t="s">
        <v>184</v>
      </c>
      <c r="AU59" s="13">
        <f>IF(AT59="ano",AK59+$AU$20,0)</f>
        <v>2.12</v>
      </c>
      <c r="AV59" s="34">
        <f>'[1]Mezišachetní úsek'!Y61</f>
        <v>0.2</v>
      </c>
      <c r="AW59" s="34">
        <f>IF(AT59="ano",AU59*C59*0.1,"není")</f>
        <v>5.4356800000000014</v>
      </c>
      <c r="AX59" s="34">
        <f>'[1]Mezišachetní úsek'!AA61</f>
        <v>2.2000000000000002</v>
      </c>
      <c r="AY59" s="34"/>
      <c r="AZ59" s="34">
        <f t="shared" si="7"/>
        <v>0</v>
      </c>
      <c r="BA59" s="154" t="str">
        <f>B59</f>
        <v>Š23-Š24</v>
      </c>
      <c r="BD59" s="154" t="str">
        <f t="shared" si="8"/>
        <v>Š23-Š24</v>
      </c>
      <c r="BE59" s="13" t="str">
        <f t="shared" si="9"/>
        <v>nebude</v>
      </c>
      <c r="BF59" s="13">
        <f>IF(BE59="ano",(2*AA59+0.3+2*AB59)*C59*1.2,0)</f>
        <v>0</v>
      </c>
      <c r="BG59" s="13"/>
      <c r="BH59" s="13" t="str">
        <f t="shared" si="10"/>
        <v>nebude</v>
      </c>
      <c r="BI59" s="13">
        <f t="shared" si="11"/>
        <v>0</v>
      </c>
      <c r="BK59" s="13">
        <f>IF(BJ59="ano",AU59*C59,0)</f>
        <v>0</v>
      </c>
      <c r="BL59" t="s">
        <v>184</v>
      </c>
      <c r="BM59">
        <f>IF(BL59="ano",(AA59+AB59*2)*C59,0)</f>
        <v>87.176000000000016</v>
      </c>
    </row>
    <row r="60" spans="1:65" ht="15.75" x14ac:dyDescent="0.25">
      <c r="B60" s="84" t="s">
        <v>262</v>
      </c>
      <c r="C60" s="192">
        <v>15.725</v>
      </c>
      <c r="D60" s="238" t="s">
        <v>190</v>
      </c>
      <c r="F60" s="415">
        <f t="shared" si="1"/>
        <v>1</v>
      </c>
      <c r="G60" s="416">
        <f t="shared" si="2"/>
        <v>1</v>
      </c>
      <c r="H60" s="416"/>
      <c r="I60" s="416"/>
      <c r="J60" s="416"/>
      <c r="K60" s="416">
        <f t="shared" si="12"/>
        <v>0</v>
      </c>
      <c r="L60" s="72">
        <f>'Mezišachetní úsek'!H62</f>
        <v>0</v>
      </c>
      <c r="M60" s="72">
        <f>'Mezišachetní úsek'!I62</f>
        <v>0</v>
      </c>
      <c r="N60" s="72"/>
      <c r="O60" s="72"/>
      <c r="P60" s="416">
        <f t="shared" si="13"/>
        <v>0</v>
      </c>
      <c r="Q60" s="72">
        <f>'Mezišachetní úsek'!J62</f>
        <v>0</v>
      </c>
      <c r="R60" s="72">
        <f>'Mezišachetní úsek'!K62</f>
        <v>0</v>
      </c>
      <c r="S60" s="72">
        <f>'Mezišachetní úsek'!L62</f>
        <v>0</v>
      </c>
      <c r="T60" s="72">
        <f>'Mezišachetní úsek'!M62</f>
        <v>0</v>
      </c>
      <c r="U60" s="72">
        <f>'Mezišachetní úsek'!N62</f>
        <v>2</v>
      </c>
      <c r="V60" s="72">
        <f>'Mezišachetní úsek'!O62</f>
        <v>2</v>
      </c>
      <c r="W60" s="72">
        <f>'Mezišachetní úsek'!P62</f>
        <v>4</v>
      </c>
      <c r="X60" s="72">
        <f>'Mezišachetní úsek'!Q62</f>
        <v>68</v>
      </c>
      <c r="Y60" s="380"/>
      <c r="Z60" t="s">
        <v>184</v>
      </c>
      <c r="AA60">
        <f t="shared" si="3"/>
        <v>1.2</v>
      </c>
      <c r="AB60">
        <f t="shared" si="4"/>
        <v>1.1000000000000001</v>
      </c>
      <c r="AC60" t="str">
        <f t="shared" si="5"/>
        <v>Š23-Š41</v>
      </c>
      <c r="AD60" s="395"/>
      <c r="AE60" s="396"/>
      <c r="AF60" s="397"/>
      <c r="AG60" s="398">
        <f>L60*0.055*0.055*3.14</f>
        <v>0</v>
      </c>
      <c r="AH60" s="399">
        <f>Q60*0.08*0.08*3.14</f>
        <v>0</v>
      </c>
      <c r="AI60" s="398">
        <f>W60*0.35*0.35</f>
        <v>0.48999999999999994</v>
      </c>
      <c r="AJ60" s="397"/>
      <c r="AK60" s="400">
        <f>AA60*AB60</f>
        <v>1.32</v>
      </c>
      <c r="AL60" s="34">
        <f t="shared" si="6"/>
        <v>0.48999999999999994</v>
      </c>
      <c r="AM60" s="34">
        <f>(AK60-AL60)*C60</f>
        <v>13.05175</v>
      </c>
      <c r="AN60" s="235" t="s">
        <v>184</v>
      </c>
      <c r="AO60" s="34">
        <f>IF(AN60="ano",(2*AA60+0.3+2*AB60)*C60*1.2,0)</f>
        <v>92.463000000000008</v>
      </c>
      <c r="AP60" s="34" t="s">
        <v>184</v>
      </c>
      <c r="AQ60" s="34" t="str">
        <f>D60</f>
        <v>Pod kolejemi</v>
      </c>
      <c r="AR60" s="34">
        <f>IF(AP60="ano",((AA60+0.2)*(AB60+0.1)-AA60*AB60)*C60,0)</f>
        <v>5.6610000000000014</v>
      </c>
      <c r="AS60" s="34">
        <f>IF(AR60&gt;0.001,(AA60+2*AB60)*C60*1.25,0)</f>
        <v>66.831250000000011</v>
      </c>
      <c r="AT60" t="s">
        <v>184</v>
      </c>
      <c r="AU60" s="13">
        <f>IF(AT60="ano",AK60+$AU$20,0)</f>
        <v>2.12</v>
      </c>
      <c r="AV60" s="34">
        <f>'[1]Mezišachetní úsek'!Y62</f>
        <v>0</v>
      </c>
      <c r="AW60" s="34">
        <f>IF(AT60="ano",AU60*C60*0.1,"není")</f>
        <v>3.3337000000000003</v>
      </c>
      <c r="AX60" s="34">
        <f>'[1]Mezišachetní úsek'!AA62</f>
        <v>0</v>
      </c>
      <c r="AY60" s="34" t="s">
        <v>184</v>
      </c>
      <c r="AZ60" s="34">
        <f t="shared" si="7"/>
        <v>2.02</v>
      </c>
      <c r="BA60" s="154" t="str">
        <f>B60</f>
        <v>Š23-Š41</v>
      </c>
      <c r="BD60" s="154" t="str">
        <f t="shared" si="8"/>
        <v>Š23-Š41</v>
      </c>
      <c r="BE60" s="13" t="str">
        <f t="shared" si="9"/>
        <v>ano</v>
      </c>
      <c r="BF60" s="13">
        <f>IF(BE60="ano",(2*AA60+0.3+2*AB60)*C60*1.2,0)</f>
        <v>92.463000000000008</v>
      </c>
      <c r="BG60" s="13"/>
      <c r="BH60" s="13" t="str">
        <f t="shared" si="10"/>
        <v>ano</v>
      </c>
      <c r="BI60" s="13">
        <f t="shared" si="11"/>
        <v>184.92600000000002</v>
      </c>
      <c r="BJ60" t="s">
        <v>184</v>
      </c>
      <c r="BK60" s="13">
        <f>IF(BJ60="ano",AU60*C60,0)</f>
        <v>33.337000000000003</v>
      </c>
      <c r="BL60" t="s">
        <v>184</v>
      </c>
      <c r="BM60">
        <f>IF(BL60="ano",(AA60+AB60*2)*C60,0)</f>
        <v>53.465000000000003</v>
      </c>
    </row>
    <row r="61" spans="1:65" ht="15.75" x14ac:dyDescent="0.25">
      <c r="B61" s="84"/>
      <c r="C61" s="192"/>
      <c r="D61" s="238"/>
      <c r="F61" s="415">
        <f t="shared" si="1"/>
        <v>0</v>
      </c>
      <c r="G61" s="416">
        <f t="shared" si="2"/>
        <v>0</v>
      </c>
      <c r="H61" s="416"/>
      <c r="I61" s="416"/>
      <c r="J61" s="416"/>
      <c r="K61" s="416">
        <f t="shared" si="12"/>
        <v>0</v>
      </c>
      <c r="L61" s="72">
        <f>'Mezišachetní úsek'!H63</f>
        <v>0</v>
      </c>
      <c r="M61" s="72">
        <f>'Mezišachetní úsek'!I63</f>
        <v>0</v>
      </c>
      <c r="N61" s="72"/>
      <c r="O61" s="72"/>
      <c r="P61" s="416">
        <f t="shared" si="13"/>
        <v>0</v>
      </c>
      <c r="Q61" s="72">
        <f>'Mezišachetní úsek'!J63</f>
        <v>0</v>
      </c>
      <c r="R61" s="72">
        <f>'Mezišachetní úsek'!K63</f>
        <v>0</v>
      </c>
      <c r="S61" s="72">
        <f>'Mezišachetní úsek'!L63</f>
        <v>0</v>
      </c>
      <c r="T61" s="72">
        <f>'Mezišachetní úsek'!M63</f>
        <v>0</v>
      </c>
      <c r="U61" s="72">
        <f>'Mezišachetní úsek'!N63</f>
        <v>0</v>
      </c>
      <c r="V61" s="72">
        <f>'Mezišachetní úsek'!O63</f>
        <v>0</v>
      </c>
      <c r="W61" s="72">
        <f>'Mezišachetní úsek'!P63</f>
        <v>0</v>
      </c>
      <c r="X61" s="72">
        <f>'Mezišachetní úsek'!Q63</f>
        <v>0</v>
      </c>
      <c r="Y61" s="380"/>
      <c r="AA61">
        <f t="shared" si="3"/>
        <v>0</v>
      </c>
      <c r="AB61">
        <f t="shared" si="4"/>
        <v>0</v>
      </c>
      <c r="AC61">
        <f t="shared" si="5"/>
        <v>0</v>
      </c>
      <c r="AD61" s="395"/>
      <c r="AE61" s="396"/>
      <c r="AF61" s="397"/>
      <c r="AG61" s="398">
        <f>L61*0.055*0.055*3.14</f>
        <v>0</v>
      </c>
      <c r="AH61" s="399">
        <f>Q61*0.08*0.08*3.14</f>
        <v>0</v>
      </c>
      <c r="AI61" s="398">
        <f>W61*0.35*0.35</f>
        <v>0</v>
      </c>
      <c r="AJ61" s="397"/>
      <c r="AK61" s="400">
        <f>AA61*AB61</f>
        <v>0</v>
      </c>
      <c r="AL61" s="34">
        <f t="shared" si="6"/>
        <v>0</v>
      </c>
      <c r="AM61" s="34">
        <f>(AK61-AL61)*C61</f>
        <v>0</v>
      </c>
      <c r="AN61" s="235"/>
      <c r="AO61" s="34">
        <f>IF(AN61="ano",(2*AA61+0.3+2*AB61)*C61*1.2,0)</f>
        <v>0</v>
      </c>
      <c r="AP61" s="34" t="s">
        <v>249</v>
      </c>
      <c r="AQ61" s="34">
        <f>D61</f>
        <v>0</v>
      </c>
      <c r="AR61" s="34">
        <f>IF(AP61="ano",((AA61+0.2)*(AB61+0.1)-AA61*AB61)*C61,0)</f>
        <v>0</v>
      </c>
      <c r="AS61" s="34">
        <f>IF(AR61&gt;0.001,(AA61+2*AB61)*C61*1.25,0)</f>
        <v>0</v>
      </c>
      <c r="AU61" s="13">
        <f>IF(AT61="ano",AK61+$AU$20,0)</f>
        <v>0</v>
      </c>
      <c r="AV61" s="34">
        <f>'[1]Mezišachetní úsek'!Y63</f>
        <v>4.62</v>
      </c>
      <c r="AW61" s="34" t="str">
        <f>IF(AT61="ano",AU61*C61*0.1,"není")</f>
        <v>není</v>
      </c>
      <c r="AX61" s="34">
        <f>'[1]Mezišachetní úsek'!AA63</f>
        <v>50.820000000000007</v>
      </c>
      <c r="AY61" s="34"/>
      <c r="AZ61" s="34">
        <f t="shared" si="7"/>
        <v>0</v>
      </c>
      <c r="BA61" s="154">
        <f>B61</f>
        <v>0</v>
      </c>
      <c r="BD61" s="154">
        <f t="shared" si="8"/>
        <v>0</v>
      </c>
      <c r="BE61" s="13">
        <f t="shared" si="9"/>
        <v>0</v>
      </c>
      <c r="BF61" s="13">
        <f>IF(BE61="ano",(2*AA61+0.3+2*AB61)*C61*1.2,0)</f>
        <v>0</v>
      </c>
      <c r="BG61" s="13"/>
      <c r="BH61" s="13">
        <f t="shared" si="10"/>
        <v>0</v>
      </c>
      <c r="BI61" s="13">
        <f t="shared" si="11"/>
        <v>0</v>
      </c>
      <c r="BK61" s="13">
        <f>IF(BJ61="ano",AU61*C61,0)</f>
        <v>0</v>
      </c>
      <c r="BM61">
        <f>IF(BL61="ano",(AA61+AB61*2)*C61,0)</f>
        <v>0</v>
      </c>
    </row>
    <row r="62" spans="1:65" ht="15.75" x14ac:dyDescent="0.25">
      <c r="B62" s="84" t="s">
        <v>180</v>
      </c>
      <c r="C62" s="192">
        <v>4.7</v>
      </c>
      <c r="D62" s="237" t="s">
        <v>189</v>
      </c>
      <c r="F62" s="415">
        <f t="shared" si="1"/>
        <v>0.52499999999999991</v>
      </c>
      <c r="G62" s="416">
        <f t="shared" si="2"/>
        <v>1.0499999999999998</v>
      </c>
      <c r="H62" s="416"/>
      <c r="I62" s="416">
        <v>3</v>
      </c>
      <c r="J62" s="416">
        <v>6</v>
      </c>
      <c r="K62" s="416">
        <f t="shared" si="12"/>
        <v>0</v>
      </c>
      <c r="L62" s="72">
        <f>'Mezišachetní úsek'!H64</f>
        <v>18</v>
      </c>
      <c r="M62" s="72">
        <f>'Mezišachetní úsek'!I64</f>
        <v>108</v>
      </c>
      <c r="N62" s="72"/>
      <c r="O62" s="72"/>
      <c r="P62" s="416">
        <f t="shared" si="13"/>
        <v>0</v>
      </c>
      <c r="Q62" s="72">
        <f>'Mezišachetní úsek'!J64</f>
        <v>0</v>
      </c>
      <c r="R62" s="72">
        <f>'Mezišachetní úsek'!K64</f>
        <v>0</v>
      </c>
      <c r="S62" s="72">
        <f>'Mezišachetní úsek'!L64</f>
        <v>0</v>
      </c>
      <c r="T62" s="72">
        <f>'Mezišachetní úsek'!M64</f>
        <v>0</v>
      </c>
      <c r="U62" s="72">
        <f>'Mezišachetní úsek'!N64</f>
        <v>0</v>
      </c>
      <c r="V62" s="72">
        <f>'Mezišachetní úsek'!O64</f>
        <v>0</v>
      </c>
      <c r="W62" s="72">
        <f>'Mezišachetní úsek'!P64</f>
        <v>0</v>
      </c>
      <c r="X62" s="72">
        <f>'Mezišachetní úsek'!Q64</f>
        <v>0</v>
      </c>
      <c r="Y62" s="380"/>
      <c r="Z62" t="s">
        <v>184</v>
      </c>
      <c r="AA62">
        <f t="shared" si="3"/>
        <v>0.72499999999999987</v>
      </c>
      <c r="AB62">
        <f t="shared" si="4"/>
        <v>1.1499999999999999</v>
      </c>
      <c r="AC62" t="str">
        <f t="shared" si="5"/>
        <v>Š24-eskalator</v>
      </c>
      <c r="AD62" s="395"/>
      <c r="AE62" s="396"/>
      <c r="AF62" s="397"/>
      <c r="AG62" s="398">
        <f>L62*0.055*0.055*3.14</f>
        <v>0.17097300000000001</v>
      </c>
      <c r="AH62" s="399">
        <f>Q62*0.08*0.08*3.14</f>
        <v>0</v>
      </c>
      <c r="AI62" s="398">
        <f>W62*0.35*0.35</f>
        <v>0</v>
      </c>
      <c r="AJ62" s="397"/>
      <c r="AK62" s="400">
        <f>AA62*AB62</f>
        <v>0.83374999999999977</v>
      </c>
      <c r="AL62" s="34">
        <f t="shared" si="6"/>
        <v>0.17097300000000001</v>
      </c>
      <c r="AM62" s="34">
        <f>(AK62-AL62)*C62</f>
        <v>3.1150518999999988</v>
      </c>
      <c r="AN62" s="235" t="s">
        <v>183</v>
      </c>
      <c r="AO62" s="34">
        <f>IF(AN62="ano",(2*AA62+0.3+2*AB62)*C62*1.2,0)</f>
        <v>0</v>
      </c>
      <c r="AP62" s="34" t="s">
        <v>249</v>
      </c>
      <c r="AQ62" s="34" t="str">
        <f>D62</f>
        <v>nástupiště</v>
      </c>
      <c r="AR62" s="34">
        <f>IF(AP62="ano",((AA62+0.2)*(AB62+0.1)-AA62*AB62)*C62,0)</f>
        <v>0</v>
      </c>
      <c r="AS62" s="34">
        <f>IF(AR62&gt;0.001,(AA62+2*AB62)*C62*1.25,0)</f>
        <v>0</v>
      </c>
      <c r="AT62" t="s">
        <v>184</v>
      </c>
      <c r="AU62" s="13">
        <f>IF(AT62="ano",AK62+$AU$20,0)</f>
        <v>1.6337499999999998</v>
      </c>
      <c r="AV62" s="34">
        <f>'[1]Mezišachetní úsek'!Y64</f>
        <v>0</v>
      </c>
      <c r="AW62" s="34">
        <f>IF(AT62="ano",AU62*C62*0.1,"není")</f>
        <v>0.7678625</v>
      </c>
      <c r="AX62" s="34">
        <f>'[1]Mezišachetní úsek'!AA64</f>
        <v>0</v>
      </c>
      <c r="AY62" s="34"/>
      <c r="AZ62" s="34">
        <f t="shared" si="7"/>
        <v>0</v>
      </c>
      <c r="BA62" s="154" t="str">
        <f>B62</f>
        <v>Š24-eskalator</v>
      </c>
      <c r="BD62" s="154" t="str">
        <f t="shared" si="8"/>
        <v>Š24-eskalator</v>
      </c>
      <c r="BE62" s="13" t="str">
        <f t="shared" si="9"/>
        <v>nebude</v>
      </c>
      <c r="BF62" s="13">
        <f>IF(BE62="ano",(2*AA62+0.3+2*AB62)*C62*1.2,0)</f>
        <v>0</v>
      </c>
      <c r="BG62" s="13"/>
      <c r="BH62" s="13" t="str">
        <f t="shared" si="10"/>
        <v>nebude</v>
      </c>
      <c r="BI62" s="13">
        <f t="shared" si="11"/>
        <v>0</v>
      </c>
      <c r="BK62" s="13">
        <f>IF(BJ62="ano",AU62*C62,0)</f>
        <v>0</v>
      </c>
      <c r="BM62">
        <f>IF(BL62="ano",(AA62+AB62*2)*C62,0)</f>
        <v>0</v>
      </c>
    </row>
    <row r="63" spans="1:65" ht="15.75" x14ac:dyDescent="0.25">
      <c r="B63" s="84" t="s">
        <v>163</v>
      </c>
      <c r="C63" s="192">
        <v>32.700000000000003</v>
      </c>
      <c r="D63" s="237" t="s">
        <v>189</v>
      </c>
      <c r="F63" s="415">
        <f t="shared" si="1"/>
        <v>1</v>
      </c>
      <c r="G63" s="416">
        <f t="shared" si="2"/>
        <v>1</v>
      </c>
      <c r="H63" s="416"/>
      <c r="I63" s="416"/>
      <c r="J63" s="416"/>
      <c r="K63" s="416">
        <f t="shared" si="12"/>
        <v>0</v>
      </c>
      <c r="L63" s="72">
        <f>'Mezišachetní úsek'!H65</f>
        <v>0</v>
      </c>
      <c r="M63" s="72">
        <f>'Mezišachetní úsek'!I65</f>
        <v>0</v>
      </c>
      <c r="N63" s="72"/>
      <c r="O63" s="72"/>
      <c r="P63" s="416">
        <f t="shared" si="13"/>
        <v>0</v>
      </c>
      <c r="Q63" s="72">
        <f>'Mezišachetní úsek'!J65</f>
        <v>0</v>
      </c>
      <c r="R63" s="72">
        <f>'Mezišachetní úsek'!K65</f>
        <v>0</v>
      </c>
      <c r="S63" s="72">
        <f>'Mezišachetní úsek'!L65</f>
        <v>0</v>
      </c>
      <c r="T63" s="72">
        <f>'Mezišachetní úsek'!M65</f>
        <v>0</v>
      </c>
      <c r="U63" s="72">
        <f>'Mezišachetní úsek'!N65</f>
        <v>2</v>
      </c>
      <c r="V63" s="72">
        <f>'Mezišachetní úsek'!O65</f>
        <v>2</v>
      </c>
      <c r="W63" s="72">
        <f>'Mezišachetní úsek'!P65</f>
        <v>4</v>
      </c>
      <c r="X63" s="72">
        <f>'Mezišachetní úsek'!Q65</f>
        <v>136</v>
      </c>
      <c r="Y63" s="380"/>
      <c r="Z63" t="s">
        <v>184</v>
      </c>
      <c r="AA63">
        <f t="shared" si="3"/>
        <v>1.2</v>
      </c>
      <c r="AB63">
        <f t="shared" si="4"/>
        <v>1.1000000000000001</v>
      </c>
      <c r="AC63" t="str">
        <f t="shared" si="5"/>
        <v>Š24-Š25</v>
      </c>
      <c r="AD63" s="395"/>
      <c r="AE63" s="396"/>
      <c r="AF63" s="397"/>
      <c r="AG63" s="398">
        <f>L63*0.055*0.055*3.14</f>
        <v>0</v>
      </c>
      <c r="AH63" s="399">
        <f>Q63*0.08*0.08*3.14</f>
        <v>0</v>
      </c>
      <c r="AI63" s="398">
        <f>W63*0.35*0.35</f>
        <v>0.48999999999999994</v>
      </c>
      <c r="AJ63" s="397"/>
      <c r="AK63" s="400">
        <f>AA63*AB63</f>
        <v>1.32</v>
      </c>
      <c r="AL63" s="34">
        <f t="shared" si="6"/>
        <v>0.48999999999999994</v>
      </c>
      <c r="AM63" s="34">
        <f>(AK63-AL63)*C63</f>
        <v>27.141000000000005</v>
      </c>
      <c r="AN63" s="235" t="s">
        <v>183</v>
      </c>
      <c r="AO63" s="34">
        <f>IF(AN63="ano",(2*AA63+0.3+2*AB63)*C63*1.2,0)</f>
        <v>0</v>
      </c>
      <c r="AP63" s="34" t="s">
        <v>249</v>
      </c>
      <c r="AQ63" s="34" t="str">
        <f>D63</f>
        <v>nástupiště</v>
      </c>
      <c r="AR63" s="34">
        <f>IF(AP63="ano",((AA63+0.2)*(AB63+0.1)-AA63*AB63)*C63,0)</f>
        <v>0</v>
      </c>
      <c r="AS63" s="34">
        <f>IF(AR63&gt;0.001,(AA63+2*AB63)*C63*1.25,0)</f>
        <v>0</v>
      </c>
      <c r="AT63" t="s">
        <v>184</v>
      </c>
      <c r="AU63" s="13">
        <f>IF(AT63="ano",AK63+$AU$20,0)</f>
        <v>2.12</v>
      </c>
      <c r="AV63" s="34">
        <f>'[1]Mezišachetní úsek'!Y65</f>
        <v>0</v>
      </c>
      <c r="AW63" s="34">
        <f>IF(AT63="ano",AU63*C63*0.1,"není")</f>
        <v>6.9324000000000012</v>
      </c>
      <c r="AX63" s="34">
        <f>'[1]Mezišachetní úsek'!AA65</f>
        <v>0</v>
      </c>
      <c r="AY63" s="34"/>
      <c r="AZ63" s="34">
        <f t="shared" si="7"/>
        <v>0</v>
      </c>
      <c r="BA63" s="154" t="str">
        <f>B63</f>
        <v>Š24-Š25</v>
      </c>
      <c r="BD63" s="154" t="str">
        <f t="shared" si="8"/>
        <v>Š24-Š25</v>
      </c>
      <c r="BE63" s="13" t="str">
        <f t="shared" si="9"/>
        <v>nebude</v>
      </c>
      <c r="BF63" s="13">
        <f>IF(BE63="ano",(2*AA63+0.3+2*AB63)*C63*1.2,0)</f>
        <v>0</v>
      </c>
      <c r="BG63" s="13"/>
      <c r="BH63" s="13" t="str">
        <f t="shared" si="10"/>
        <v>nebude</v>
      </c>
      <c r="BI63" s="13">
        <f t="shared" si="11"/>
        <v>0</v>
      </c>
      <c r="BK63" s="13">
        <f>IF(BJ63="ano",AU63*C63,0)</f>
        <v>0</v>
      </c>
      <c r="BL63" t="s">
        <v>184</v>
      </c>
      <c r="BM63">
        <f>IF(BL63="ano",(AA63+AB63*2)*C63,0)</f>
        <v>111.18000000000002</v>
      </c>
    </row>
    <row r="64" spans="1:65" ht="15.75" x14ac:dyDescent="0.25">
      <c r="B64" s="84" t="s">
        <v>263</v>
      </c>
      <c r="C64" s="192">
        <v>30.8</v>
      </c>
      <c r="D64" s="237" t="s">
        <v>189</v>
      </c>
      <c r="F64" s="415">
        <f t="shared" si="1"/>
        <v>1</v>
      </c>
      <c r="G64" s="416">
        <f t="shared" si="2"/>
        <v>1</v>
      </c>
      <c r="H64" s="416"/>
      <c r="I64" s="416"/>
      <c r="J64" s="416"/>
      <c r="K64" s="416">
        <f t="shared" si="12"/>
        <v>0</v>
      </c>
      <c r="L64" s="72">
        <f>'Mezišachetní úsek'!H66</f>
        <v>0</v>
      </c>
      <c r="M64" s="72">
        <f>'Mezišachetní úsek'!I66</f>
        <v>0</v>
      </c>
      <c r="N64" s="72"/>
      <c r="O64" s="72"/>
      <c r="P64" s="416">
        <f t="shared" si="13"/>
        <v>0</v>
      </c>
      <c r="Q64" s="72">
        <f>'Mezišachetní úsek'!J66</f>
        <v>0</v>
      </c>
      <c r="R64" s="72">
        <f>'Mezišachetní úsek'!K66</f>
        <v>0</v>
      </c>
      <c r="S64" s="72">
        <f>'Mezišachetní úsek'!L66</f>
        <v>0</v>
      </c>
      <c r="T64" s="72">
        <f>'Mezišachetní úsek'!M66</f>
        <v>0</v>
      </c>
      <c r="U64" s="72">
        <f>'Mezišachetní úsek'!N66</f>
        <v>2</v>
      </c>
      <c r="V64" s="72">
        <f>'Mezišachetní úsek'!O66</f>
        <v>2</v>
      </c>
      <c r="W64" s="72">
        <f>'Mezišachetní úsek'!P66</f>
        <v>4</v>
      </c>
      <c r="X64" s="72">
        <f>'Mezišachetní úsek'!Q66</f>
        <v>128</v>
      </c>
      <c r="Y64" s="380"/>
      <c r="Z64" t="s">
        <v>184</v>
      </c>
      <c r="AA64">
        <f t="shared" si="3"/>
        <v>1.2</v>
      </c>
      <c r="AB64">
        <f t="shared" si="4"/>
        <v>1.1000000000000001</v>
      </c>
      <c r="AC64" t="str">
        <f t="shared" si="5"/>
        <v>Š25-Š26</v>
      </c>
      <c r="AD64" s="395"/>
      <c r="AE64" s="396"/>
      <c r="AF64" s="397"/>
      <c r="AG64" s="398">
        <f>L64*0.055*0.055*3.14</f>
        <v>0</v>
      </c>
      <c r="AH64" s="399">
        <f>Q64*0.08*0.08*3.14</f>
        <v>0</v>
      </c>
      <c r="AI64" s="398">
        <f>W64*0.35*0.35</f>
        <v>0.48999999999999994</v>
      </c>
      <c r="AJ64" s="397"/>
      <c r="AK64" s="400">
        <f>AA64*AB64</f>
        <v>1.32</v>
      </c>
      <c r="AL64" s="34">
        <f t="shared" si="6"/>
        <v>0.48999999999999994</v>
      </c>
      <c r="AM64" s="34">
        <f>(AK64-AL64)*C64</f>
        <v>25.564000000000004</v>
      </c>
      <c r="AN64" s="235" t="s">
        <v>183</v>
      </c>
      <c r="AO64" s="34">
        <f>IF(AN64="ano",(2*AA64+0.3+2*AB64)*C64*1.2,0)</f>
        <v>0</v>
      </c>
      <c r="AP64" s="34" t="s">
        <v>249</v>
      </c>
      <c r="AQ64" s="34" t="str">
        <f>D64</f>
        <v>nástupiště</v>
      </c>
      <c r="AR64" s="34">
        <f>IF(AP64="ano",((AA64+0.2)*(AB64+0.1)-AA64*AB64)*C64,0)</f>
        <v>0</v>
      </c>
      <c r="AS64" s="34">
        <f>IF(AR64&gt;0.001,(AA64+2*AB64)*C64*1.25,0)</f>
        <v>0</v>
      </c>
      <c r="AT64" t="s">
        <v>184</v>
      </c>
      <c r="AU64" s="13">
        <f>IF(AT64="ano",AK64+$AU$20,0)</f>
        <v>2.12</v>
      </c>
      <c r="AV64" s="34">
        <f>'[1]Mezišachetní úsek'!Y66</f>
        <v>0</v>
      </c>
      <c r="AW64" s="34">
        <f>IF(AT64="ano",AU64*C64*0.1,"není")</f>
        <v>6.5296000000000012</v>
      </c>
      <c r="AX64" s="34">
        <f>'[1]Mezišachetní úsek'!AA66</f>
        <v>0</v>
      </c>
      <c r="AY64" s="34"/>
      <c r="AZ64" s="34">
        <f t="shared" si="7"/>
        <v>0</v>
      </c>
      <c r="BA64" s="154" t="str">
        <f>B64</f>
        <v>Š25-Š26</v>
      </c>
      <c r="BD64" s="154" t="str">
        <f t="shared" si="8"/>
        <v>Š25-Š26</v>
      </c>
      <c r="BE64" s="13" t="str">
        <f t="shared" si="9"/>
        <v>nebude</v>
      </c>
      <c r="BF64" s="13">
        <f>IF(BE64="ano",(2*AA64+0.3+2*AB64)*C64*1.2,0)</f>
        <v>0</v>
      </c>
      <c r="BG64" s="13"/>
      <c r="BH64" s="13" t="str">
        <f t="shared" si="10"/>
        <v>nebude</v>
      </c>
      <c r="BI64" s="13">
        <f t="shared" si="11"/>
        <v>0</v>
      </c>
      <c r="BK64" s="13">
        <f>IF(BJ64="ano",AU64*C64,0)</f>
        <v>0</v>
      </c>
      <c r="BL64" t="s">
        <v>184</v>
      </c>
      <c r="BM64">
        <f>IF(BL64="ano",(AA64+AB64*2)*C64,0)</f>
        <v>104.72000000000001</v>
      </c>
    </row>
    <row r="65" spans="1:65" ht="15.75" x14ac:dyDescent="0.25">
      <c r="B65" s="84" t="s">
        <v>237</v>
      </c>
      <c r="C65" s="192">
        <v>31</v>
      </c>
      <c r="D65" s="237" t="s">
        <v>189</v>
      </c>
      <c r="F65" s="415">
        <f t="shared" si="1"/>
        <v>1</v>
      </c>
      <c r="G65" s="416">
        <f t="shared" si="2"/>
        <v>1</v>
      </c>
      <c r="H65" s="416"/>
      <c r="I65" s="416"/>
      <c r="J65" s="416"/>
      <c r="K65" s="416">
        <f t="shared" si="12"/>
        <v>0</v>
      </c>
      <c r="L65" s="72">
        <f>'Mezišachetní úsek'!H67</f>
        <v>0</v>
      </c>
      <c r="M65" s="72">
        <f>'Mezišachetní úsek'!I67</f>
        <v>0</v>
      </c>
      <c r="N65" s="72"/>
      <c r="O65" s="72"/>
      <c r="P65" s="416">
        <f t="shared" si="13"/>
        <v>0</v>
      </c>
      <c r="Q65" s="72">
        <f>'Mezišachetní úsek'!J67</f>
        <v>0</v>
      </c>
      <c r="R65" s="72">
        <f>'Mezišachetní úsek'!K67</f>
        <v>0</v>
      </c>
      <c r="S65" s="72">
        <f>'Mezišachetní úsek'!L67</f>
        <v>0</v>
      </c>
      <c r="T65" s="72">
        <f>'Mezišachetní úsek'!M67</f>
        <v>0</v>
      </c>
      <c r="U65" s="72">
        <f>'Mezišachetní úsek'!N67</f>
        <v>2</v>
      </c>
      <c r="V65" s="72">
        <f>'Mezišachetní úsek'!O67</f>
        <v>2</v>
      </c>
      <c r="W65" s="72">
        <f>'Mezišachetní úsek'!P67</f>
        <v>4</v>
      </c>
      <c r="X65" s="72">
        <f>'Mezišachetní úsek'!Q67</f>
        <v>128</v>
      </c>
      <c r="Y65" s="380"/>
      <c r="Z65" t="s">
        <v>184</v>
      </c>
      <c r="AA65">
        <f t="shared" si="3"/>
        <v>1.2</v>
      </c>
      <c r="AB65">
        <f t="shared" si="4"/>
        <v>1.1000000000000001</v>
      </c>
      <c r="AC65" t="str">
        <f t="shared" si="5"/>
        <v>Š26-Š27</v>
      </c>
      <c r="AD65" s="395"/>
      <c r="AE65" s="396"/>
      <c r="AF65" s="397"/>
      <c r="AG65" s="398">
        <f>L65*0.055*0.055*3.14</f>
        <v>0</v>
      </c>
      <c r="AH65" s="399">
        <f>Q65*0.08*0.08*3.14</f>
        <v>0</v>
      </c>
      <c r="AI65" s="398">
        <f>W65*0.35*0.35</f>
        <v>0.48999999999999994</v>
      </c>
      <c r="AJ65" s="397"/>
      <c r="AK65" s="400">
        <f>AA65*AB65</f>
        <v>1.32</v>
      </c>
      <c r="AL65" s="34">
        <f t="shared" si="6"/>
        <v>0.48999999999999994</v>
      </c>
      <c r="AM65" s="34">
        <f>(AK65-AL65)*C65</f>
        <v>25.730000000000004</v>
      </c>
      <c r="AN65" s="235" t="s">
        <v>183</v>
      </c>
      <c r="AO65" s="34">
        <f>IF(AN65="ano",(2*AA65+0.3+2*AB65)*C65*1.2,0)</f>
        <v>0</v>
      </c>
      <c r="AP65" s="34" t="s">
        <v>249</v>
      </c>
      <c r="AQ65" s="34" t="str">
        <f>D65</f>
        <v>nástupiště</v>
      </c>
      <c r="AR65" s="34">
        <f>IF(AP65="ano",((AA65+0.2)*(AB65+0.1)-AA65*AB65)*C65,0)</f>
        <v>0</v>
      </c>
      <c r="AS65" s="34">
        <f>IF(AR65&gt;0.001,(AA65+2*AB65)*C65*1.25,0)</f>
        <v>0</v>
      </c>
      <c r="AT65" t="s">
        <v>184</v>
      </c>
      <c r="AU65" s="13">
        <f>IF(AT65="ano",AK65+$AU$20,0)</f>
        <v>2.12</v>
      </c>
      <c r="AV65" s="34">
        <f>'[1]Mezišachetní úsek'!Y67</f>
        <v>2.54</v>
      </c>
      <c r="AW65" s="34">
        <f>IF(AT65="ano",AU65*C65*0.1,"není")</f>
        <v>6.5720000000000001</v>
      </c>
      <c r="AX65" s="34">
        <f>'[1]Mezišachetní úsek'!AA67</f>
        <v>27.94</v>
      </c>
      <c r="AY65" s="34"/>
      <c r="AZ65" s="34">
        <f t="shared" si="7"/>
        <v>0</v>
      </c>
      <c r="BA65" s="154" t="str">
        <f>B65</f>
        <v>Š26-Š27</v>
      </c>
      <c r="BD65" s="154" t="str">
        <f t="shared" si="8"/>
        <v>Š26-Š27</v>
      </c>
      <c r="BE65" s="13" t="str">
        <f t="shared" si="9"/>
        <v>nebude</v>
      </c>
      <c r="BF65" s="13">
        <f>IF(BE65="ano",(2*AA65+0.3+2*AB65)*C65*1.2,0)</f>
        <v>0</v>
      </c>
      <c r="BG65" s="13"/>
      <c r="BH65" s="13" t="str">
        <f t="shared" si="10"/>
        <v>nebude</v>
      </c>
      <c r="BI65" s="13">
        <f t="shared" si="11"/>
        <v>0</v>
      </c>
      <c r="BK65" s="13">
        <f>IF(BJ65="ano",AU65*C65,0)</f>
        <v>0</v>
      </c>
      <c r="BL65" t="s">
        <v>184</v>
      </c>
      <c r="BM65">
        <f>IF(BL65="ano",(AA65+AB65*2)*C65,0)</f>
        <v>105.4</v>
      </c>
    </row>
    <row r="66" spans="1:65" ht="15.75" x14ac:dyDescent="0.25">
      <c r="B66" s="84" t="s">
        <v>164</v>
      </c>
      <c r="C66" s="192">
        <v>30.5</v>
      </c>
      <c r="D66" s="237" t="s">
        <v>189</v>
      </c>
      <c r="F66" s="415">
        <f t="shared" si="1"/>
        <v>1</v>
      </c>
      <c r="G66" s="416">
        <f t="shared" si="2"/>
        <v>1</v>
      </c>
      <c r="H66" s="416"/>
      <c r="I66" s="416"/>
      <c r="J66" s="416"/>
      <c r="K66" s="416">
        <f t="shared" si="12"/>
        <v>0</v>
      </c>
      <c r="L66" s="72">
        <f>'Mezišachetní úsek'!H68</f>
        <v>0</v>
      </c>
      <c r="M66" s="72">
        <f>'Mezišachetní úsek'!I68</f>
        <v>0</v>
      </c>
      <c r="N66" s="72"/>
      <c r="O66" s="72"/>
      <c r="P66" s="416">
        <f t="shared" si="13"/>
        <v>0</v>
      </c>
      <c r="Q66" s="72">
        <f>'Mezišachetní úsek'!J68</f>
        <v>0</v>
      </c>
      <c r="R66" s="72">
        <f>'Mezišachetní úsek'!K68</f>
        <v>0</v>
      </c>
      <c r="S66" s="72">
        <f>'Mezišachetní úsek'!L68</f>
        <v>0</v>
      </c>
      <c r="T66" s="72">
        <f>'Mezišachetní úsek'!M68</f>
        <v>0</v>
      </c>
      <c r="U66" s="72">
        <f>'Mezišachetní úsek'!N68</f>
        <v>2</v>
      </c>
      <c r="V66" s="72">
        <f>'Mezišachetní úsek'!O68</f>
        <v>2</v>
      </c>
      <c r="W66" s="72">
        <f>'Mezišachetní úsek'!P68</f>
        <v>4</v>
      </c>
      <c r="X66" s="72">
        <f>'Mezišachetní úsek'!Q68</f>
        <v>128</v>
      </c>
      <c r="Y66" s="380"/>
      <c r="Z66" t="s">
        <v>184</v>
      </c>
      <c r="AA66">
        <f t="shared" si="3"/>
        <v>1.2</v>
      </c>
      <c r="AB66">
        <f t="shared" si="4"/>
        <v>1.1000000000000001</v>
      </c>
      <c r="AC66" t="str">
        <f t="shared" si="5"/>
        <v>Š27-Š28</v>
      </c>
      <c r="AD66" s="395"/>
      <c r="AE66" s="396"/>
      <c r="AF66" s="397"/>
      <c r="AG66" s="398">
        <f>L66*0.055*0.055*3.14</f>
        <v>0</v>
      </c>
      <c r="AH66" s="399">
        <f>Q66*0.08*0.08*3.14</f>
        <v>0</v>
      </c>
      <c r="AI66" s="398">
        <f>W66*0.35*0.35</f>
        <v>0.48999999999999994</v>
      </c>
      <c r="AJ66" s="397"/>
      <c r="AK66" s="400">
        <f>AA66*AB66</f>
        <v>1.32</v>
      </c>
      <c r="AL66" s="34">
        <f t="shared" si="6"/>
        <v>0.48999999999999994</v>
      </c>
      <c r="AM66" s="34">
        <f>(AK66-AL66)*C66</f>
        <v>25.315000000000001</v>
      </c>
      <c r="AN66" s="235" t="s">
        <v>183</v>
      </c>
      <c r="AO66" s="34">
        <f>IF(AN66="ano",(2*AA66+0.3+2*AB66)*C66*1.2,0)</f>
        <v>0</v>
      </c>
      <c r="AP66" s="34" t="s">
        <v>249</v>
      </c>
      <c r="AQ66" s="34" t="str">
        <f>D66</f>
        <v>nástupiště</v>
      </c>
      <c r="AR66" s="34">
        <f>IF(AP66="ano",((AA66+0.2)*(AB66+0.1)-AA66*AB66)*C66,0)</f>
        <v>0</v>
      </c>
      <c r="AS66" s="34">
        <f>IF(AR66&gt;0.001,(AA66+2*AB66)*C66*1.25,0)</f>
        <v>0</v>
      </c>
      <c r="AT66" t="s">
        <v>184</v>
      </c>
      <c r="AU66" s="13">
        <f>IF(AT66="ano",AK66+$AU$20,0)</f>
        <v>2.12</v>
      </c>
      <c r="AV66" s="34">
        <f>'[1]Mezišachetní úsek'!Y68</f>
        <v>0</v>
      </c>
      <c r="AW66" s="34">
        <f>IF(AT66="ano",AU66*C66*0.1,"není")</f>
        <v>6.4660000000000002</v>
      </c>
      <c r="AX66" s="34">
        <f>'[1]Mezišachetní úsek'!AA68</f>
        <v>0</v>
      </c>
      <c r="AY66" s="34"/>
      <c r="AZ66" s="34">
        <f t="shared" si="7"/>
        <v>0</v>
      </c>
      <c r="BA66" s="154" t="str">
        <f>B66</f>
        <v>Š27-Š28</v>
      </c>
      <c r="BD66" s="154" t="str">
        <f t="shared" si="8"/>
        <v>Š27-Š28</v>
      </c>
      <c r="BE66" s="13" t="str">
        <f t="shared" si="9"/>
        <v>nebude</v>
      </c>
      <c r="BF66" s="13">
        <f>IF(BE66="ano",(2*AA66+0.3+2*AB66)*C66*1.2,0)</f>
        <v>0</v>
      </c>
      <c r="BG66" s="13"/>
      <c r="BH66" s="13" t="str">
        <f t="shared" si="10"/>
        <v>nebude</v>
      </c>
      <c r="BI66" s="13">
        <f t="shared" si="11"/>
        <v>0</v>
      </c>
      <c r="BK66" s="13">
        <f>IF(BJ66="ano",AU66*C66,0)</f>
        <v>0</v>
      </c>
      <c r="BL66" t="s">
        <v>184</v>
      </c>
      <c r="BM66">
        <f>IF(BL66="ano",(AA66+AB66*2)*C66,0)</f>
        <v>103.70000000000002</v>
      </c>
    </row>
    <row r="67" spans="1:65" ht="15.75" x14ac:dyDescent="0.25">
      <c r="B67" s="84" t="s">
        <v>165</v>
      </c>
      <c r="C67" s="192">
        <v>28.8</v>
      </c>
      <c r="D67" s="237" t="s">
        <v>189</v>
      </c>
      <c r="F67" s="415">
        <f t="shared" si="1"/>
        <v>1</v>
      </c>
      <c r="G67" s="416">
        <f t="shared" si="2"/>
        <v>1</v>
      </c>
      <c r="H67" s="416"/>
      <c r="I67" s="416"/>
      <c r="J67" s="416"/>
      <c r="K67" s="416">
        <f t="shared" si="12"/>
        <v>0</v>
      </c>
      <c r="L67" s="72">
        <f>'Mezišachetní úsek'!H69</f>
        <v>0</v>
      </c>
      <c r="M67" s="72">
        <f>'Mezišachetní úsek'!I69</f>
        <v>0</v>
      </c>
      <c r="N67" s="72"/>
      <c r="O67" s="72"/>
      <c r="P67" s="416">
        <f t="shared" si="13"/>
        <v>0</v>
      </c>
      <c r="Q67" s="72">
        <f>'Mezišachetní úsek'!J69</f>
        <v>0</v>
      </c>
      <c r="R67" s="72">
        <f>'Mezišachetní úsek'!K69</f>
        <v>0</v>
      </c>
      <c r="S67" s="72">
        <f>'Mezišachetní úsek'!L69</f>
        <v>0</v>
      </c>
      <c r="T67" s="72">
        <f>'Mezišachetní úsek'!M69</f>
        <v>0</v>
      </c>
      <c r="U67" s="72">
        <f>'Mezišachetní úsek'!N69</f>
        <v>2</v>
      </c>
      <c r="V67" s="72">
        <f>'Mezišachetní úsek'!O69</f>
        <v>2</v>
      </c>
      <c r="W67" s="72">
        <f>'Mezišachetní úsek'!P69</f>
        <v>4</v>
      </c>
      <c r="X67" s="72">
        <f>'Mezišachetní úsek'!Q69</f>
        <v>120</v>
      </c>
      <c r="Y67" s="380"/>
      <c r="Z67" t="s">
        <v>184</v>
      </c>
      <c r="AA67">
        <f t="shared" si="3"/>
        <v>1.2</v>
      </c>
      <c r="AB67">
        <f t="shared" si="4"/>
        <v>1.1000000000000001</v>
      </c>
      <c r="AC67" t="str">
        <f t="shared" si="5"/>
        <v>Š28-Š29</v>
      </c>
      <c r="AD67" s="395"/>
      <c r="AE67" s="396"/>
      <c r="AF67" s="397"/>
      <c r="AG67" s="398">
        <f>L67*0.055*0.055*3.14</f>
        <v>0</v>
      </c>
      <c r="AH67" s="399">
        <f>Q67*0.08*0.08*3.14</f>
        <v>0</v>
      </c>
      <c r="AI67" s="398">
        <f>W67*0.35*0.35</f>
        <v>0.48999999999999994</v>
      </c>
      <c r="AJ67" s="397"/>
      <c r="AK67" s="400">
        <f>AA67*AB67</f>
        <v>1.32</v>
      </c>
      <c r="AL67" s="34">
        <f t="shared" si="6"/>
        <v>0.48999999999999994</v>
      </c>
      <c r="AM67" s="34">
        <f>(AK67-AL67)*C67</f>
        <v>23.904000000000003</v>
      </c>
      <c r="AN67" s="235" t="s">
        <v>183</v>
      </c>
      <c r="AO67" s="34">
        <f>IF(AN67="ano",(2*AA67+0.3+2*AB67)*C67*1.2,0)</f>
        <v>0</v>
      </c>
      <c r="AP67" s="34" t="s">
        <v>249</v>
      </c>
      <c r="AQ67" s="34" t="str">
        <f>D67</f>
        <v>nástupiště</v>
      </c>
      <c r="AR67" s="34">
        <f>IF(AP67="ano",((AA67+0.2)*(AB67+0.1)-AA67*AB67)*C67,0)</f>
        <v>0</v>
      </c>
      <c r="AS67" s="34">
        <f>IF(AR67&gt;0.001,(AA67+2*AB67)*C67*1.25,0)</f>
        <v>0</v>
      </c>
      <c r="AT67" t="s">
        <v>184</v>
      </c>
      <c r="AU67" s="13">
        <f>IF(AT67="ano",AK67+$AU$20,0)</f>
        <v>2.12</v>
      </c>
      <c r="AV67" s="34">
        <f>'[1]Mezišachetní úsek'!Y69</f>
        <v>2.34</v>
      </c>
      <c r="AW67" s="34">
        <f>IF(AT67="ano",AU67*C67*0.1,"není")</f>
        <v>6.1056000000000008</v>
      </c>
      <c r="AX67" s="34">
        <f>'[1]Mezišachetní úsek'!AA69</f>
        <v>25.740000000000002</v>
      </c>
      <c r="AY67" s="34"/>
      <c r="AZ67" s="34">
        <f t="shared" si="7"/>
        <v>0</v>
      </c>
      <c r="BA67" s="154" t="str">
        <f>B67</f>
        <v>Š28-Š29</v>
      </c>
      <c r="BD67" s="154" t="str">
        <f t="shared" si="8"/>
        <v>Š28-Š29</v>
      </c>
      <c r="BE67" s="13" t="str">
        <f t="shared" si="9"/>
        <v>nebude</v>
      </c>
      <c r="BF67" s="13">
        <f>IF(BE67="ano",(2*AA67+0.3+2*AB67)*C67*1.2,0)</f>
        <v>0</v>
      </c>
      <c r="BG67" s="13"/>
      <c r="BH67" s="13" t="str">
        <f t="shared" si="10"/>
        <v>nebude</v>
      </c>
      <c r="BI67" s="13">
        <f t="shared" si="11"/>
        <v>0</v>
      </c>
      <c r="BK67" s="13">
        <f>IF(BJ67="ano",AU67*C67,0)</f>
        <v>0</v>
      </c>
      <c r="BL67" t="s">
        <v>184</v>
      </c>
      <c r="BM67">
        <f>IF(BL67="ano",(AA67+AB67*2)*C67,0)</f>
        <v>97.920000000000016</v>
      </c>
    </row>
    <row r="68" spans="1:65" ht="15.75" x14ac:dyDescent="0.25">
      <c r="B68" s="84" t="s">
        <v>166</v>
      </c>
      <c r="C68" s="192">
        <v>14.62</v>
      </c>
      <c r="D68" s="237" t="s">
        <v>189</v>
      </c>
      <c r="F68" s="415">
        <f t="shared" si="1"/>
        <v>1</v>
      </c>
      <c r="G68" s="416">
        <f t="shared" si="2"/>
        <v>1</v>
      </c>
      <c r="H68" s="416"/>
      <c r="I68" s="416"/>
      <c r="J68" s="416"/>
      <c r="K68" s="416">
        <f t="shared" si="12"/>
        <v>0</v>
      </c>
      <c r="L68" s="72">
        <f>'Mezišachetní úsek'!H70</f>
        <v>0</v>
      </c>
      <c r="M68" s="72">
        <f>'Mezišachetní úsek'!I70</f>
        <v>0</v>
      </c>
      <c r="N68" s="72"/>
      <c r="O68" s="72"/>
      <c r="P68" s="416">
        <f t="shared" si="13"/>
        <v>0</v>
      </c>
      <c r="Q68" s="72">
        <f>'Mezišachetní úsek'!J70</f>
        <v>0</v>
      </c>
      <c r="R68" s="72">
        <f>'Mezišachetní úsek'!K70</f>
        <v>0</v>
      </c>
      <c r="S68" s="72">
        <f>'Mezišachetní úsek'!L70</f>
        <v>0</v>
      </c>
      <c r="T68" s="72">
        <f>'Mezišachetní úsek'!M70</f>
        <v>0</v>
      </c>
      <c r="U68" s="72">
        <f>'Mezišachetní úsek'!N70</f>
        <v>2</v>
      </c>
      <c r="V68" s="72">
        <f>'Mezišachetní úsek'!O70</f>
        <v>2</v>
      </c>
      <c r="W68" s="72">
        <f>'Mezišachetní úsek'!P70</f>
        <v>4</v>
      </c>
      <c r="X68" s="72">
        <f>'Mezišachetní úsek'!Q70</f>
        <v>64</v>
      </c>
      <c r="Y68" s="380"/>
      <c r="Z68" t="s">
        <v>184</v>
      </c>
      <c r="AA68">
        <f t="shared" si="3"/>
        <v>1.2</v>
      </c>
      <c r="AB68">
        <f t="shared" si="4"/>
        <v>1.1000000000000001</v>
      </c>
      <c r="AC68" t="str">
        <f t="shared" si="5"/>
        <v>Š29-Š30</v>
      </c>
      <c r="AD68" s="395"/>
      <c r="AE68" s="396"/>
      <c r="AF68" s="397"/>
      <c r="AG68" s="398">
        <f>L68*0.055*0.055*3.14</f>
        <v>0</v>
      </c>
      <c r="AH68" s="399">
        <f>Q68*0.08*0.08*3.14</f>
        <v>0</v>
      </c>
      <c r="AI68" s="398">
        <f>W68*0.35*0.35</f>
        <v>0.48999999999999994</v>
      </c>
      <c r="AJ68" s="397"/>
      <c r="AK68" s="400">
        <f>AA68*AB68</f>
        <v>1.32</v>
      </c>
      <c r="AL68" s="34">
        <f t="shared" si="6"/>
        <v>0.48999999999999994</v>
      </c>
      <c r="AM68" s="34">
        <f>(AK68-AL68)*C68</f>
        <v>12.134600000000001</v>
      </c>
      <c r="AN68" s="235" t="s">
        <v>183</v>
      </c>
      <c r="AO68" s="34">
        <f>IF(AN68="ano",(2*AA68+0.3+2*AB68)*C68*1.2,0)</f>
        <v>0</v>
      </c>
      <c r="AP68" s="34" t="s">
        <v>249</v>
      </c>
      <c r="AQ68" s="34" t="str">
        <f>D68</f>
        <v>nástupiště</v>
      </c>
      <c r="AR68" s="34">
        <f>IF(AP68="ano",((AA68+0.2)*(AB68+0.1)-AA68*AB68)*C68,0)</f>
        <v>0</v>
      </c>
      <c r="AS68" s="34">
        <f>IF(AR68&gt;0.001,(AA68+2*AB68)*C68*1.25,0)</f>
        <v>0</v>
      </c>
      <c r="AT68" t="s">
        <v>184</v>
      </c>
      <c r="AU68" s="13">
        <f>IF(AT68="ano",AK68+$AU$20,0)</f>
        <v>2.12</v>
      </c>
      <c r="AV68" s="34">
        <f>'[1]Mezišachetní úsek'!Y70</f>
        <v>3.3600000000000003</v>
      </c>
      <c r="AW68" s="34">
        <f>IF(AT68="ano",AU68*C68*0.1,"není")</f>
        <v>3.09944</v>
      </c>
      <c r="AX68" s="34">
        <f>'[1]Mezišachetní úsek'!AA70</f>
        <v>36.960000000000008</v>
      </c>
      <c r="AY68" s="34"/>
      <c r="AZ68" s="34">
        <f t="shared" si="7"/>
        <v>0</v>
      </c>
      <c r="BA68" s="154" t="str">
        <f>B68</f>
        <v>Š29-Š30</v>
      </c>
      <c r="BD68" s="154" t="str">
        <f t="shared" si="8"/>
        <v>Š29-Š30</v>
      </c>
      <c r="BE68" s="13" t="str">
        <f t="shared" si="9"/>
        <v>nebude</v>
      </c>
      <c r="BF68" s="13">
        <f>IF(BE68="ano",(2*AA68+0.3+2*AB68)*C68*1.2,0)</f>
        <v>0</v>
      </c>
      <c r="BG68" s="13"/>
      <c r="BH68" s="13" t="str">
        <f t="shared" si="10"/>
        <v>nebude</v>
      </c>
      <c r="BI68" s="13">
        <f t="shared" si="11"/>
        <v>0</v>
      </c>
      <c r="BK68" s="13">
        <f>IF(BJ68="ano",AU68*C68,0)</f>
        <v>0</v>
      </c>
      <c r="BL68" t="s">
        <v>184</v>
      </c>
      <c r="BM68">
        <f>IF(BL68="ano",(AA68+AB68*2)*C68,0)</f>
        <v>49.708000000000006</v>
      </c>
    </row>
    <row r="69" spans="1:65" ht="15.75" x14ac:dyDescent="0.25">
      <c r="B69" s="84"/>
      <c r="C69" s="192"/>
      <c r="D69" s="237"/>
      <c r="F69" s="415">
        <f t="shared" si="1"/>
        <v>0</v>
      </c>
      <c r="G69" s="416">
        <f t="shared" si="2"/>
        <v>0</v>
      </c>
      <c r="H69" s="416"/>
      <c r="I69" s="416"/>
      <c r="J69" s="416"/>
      <c r="K69" s="416">
        <f t="shared" si="12"/>
        <v>0</v>
      </c>
      <c r="L69" s="72">
        <f>'Mezišachetní úsek'!H71</f>
        <v>0</v>
      </c>
      <c r="M69" s="72">
        <f>'Mezišachetní úsek'!I71</f>
        <v>0</v>
      </c>
      <c r="N69" s="72"/>
      <c r="O69" s="72"/>
      <c r="P69" s="416">
        <f t="shared" si="13"/>
        <v>0</v>
      </c>
      <c r="Q69" s="72">
        <f>'Mezišachetní úsek'!J71</f>
        <v>0</v>
      </c>
      <c r="R69" s="72">
        <f>'Mezišachetní úsek'!K71</f>
        <v>0</v>
      </c>
      <c r="S69" s="72">
        <f>'Mezišachetní úsek'!L71</f>
        <v>0</v>
      </c>
      <c r="T69" s="72">
        <f>'Mezišachetní úsek'!M71</f>
        <v>0</v>
      </c>
      <c r="U69" s="72">
        <f>'Mezišachetní úsek'!N71</f>
        <v>0</v>
      </c>
      <c r="V69" s="72">
        <f>'Mezišachetní úsek'!O71</f>
        <v>0</v>
      </c>
      <c r="W69" s="72">
        <f>'Mezišachetní úsek'!P71</f>
        <v>0</v>
      </c>
      <c r="X69" s="72">
        <f>'Mezišachetní úsek'!Q71</f>
        <v>0</v>
      </c>
      <c r="Y69" s="380"/>
      <c r="AA69">
        <f t="shared" si="3"/>
        <v>0</v>
      </c>
      <c r="AB69">
        <f t="shared" si="4"/>
        <v>0</v>
      </c>
      <c r="AC69">
        <f t="shared" si="5"/>
        <v>0</v>
      </c>
      <c r="AD69" s="395"/>
      <c r="AE69" s="396"/>
      <c r="AF69" s="397"/>
      <c r="AG69" s="398">
        <f>L69*0.055*0.055*3.14</f>
        <v>0</v>
      </c>
      <c r="AH69" s="399">
        <f>Q69*0.08*0.08*3.14</f>
        <v>0</v>
      </c>
      <c r="AI69" s="398">
        <f>W69*0.35*0.35</f>
        <v>0</v>
      </c>
      <c r="AJ69" s="397"/>
      <c r="AK69" s="400">
        <f>AA69*AB69</f>
        <v>0</v>
      </c>
      <c r="AL69" s="34">
        <f t="shared" si="6"/>
        <v>0</v>
      </c>
      <c r="AM69" s="34">
        <f>(AK69-AL69)*C69</f>
        <v>0</v>
      </c>
      <c r="AN69" s="235">
        <f>X69</f>
        <v>0</v>
      </c>
      <c r="AO69" s="34">
        <f>IF(AN69="ano",(2*AA69+0.3+2*AB69)*C69*1.2,0)</f>
        <v>0</v>
      </c>
      <c r="AP69" s="34" t="s">
        <v>249</v>
      </c>
      <c r="AQ69" s="34">
        <f>D69</f>
        <v>0</v>
      </c>
      <c r="AR69" s="34">
        <f>IF(AP69="ano",((AA69+0.2)*(AB69+0.1)-AA69*AB69)*C69,0)</f>
        <v>0</v>
      </c>
      <c r="AS69" s="34">
        <f>IF(AR69&gt;0.001,(AA69+2*AB69)*C69*1.25,0)</f>
        <v>0</v>
      </c>
      <c r="AU69" s="13">
        <f>IF(AT69="ano",AK69+$AU$20,0)</f>
        <v>0</v>
      </c>
      <c r="AV69" s="34">
        <f>'[1]Mezišachetní úsek'!Y71</f>
        <v>0</v>
      </c>
      <c r="AW69" s="34" t="str">
        <f>IF(AT69="ano",AU69*C69*0.1,"není")</f>
        <v>není</v>
      </c>
      <c r="AX69" s="34">
        <f>'[1]Mezišachetní úsek'!AA71</f>
        <v>0</v>
      </c>
      <c r="AY69" s="34"/>
      <c r="AZ69" s="34">
        <f t="shared" si="7"/>
        <v>0</v>
      </c>
      <c r="BA69" s="154">
        <f>B69</f>
        <v>0</v>
      </c>
      <c r="BD69" s="154">
        <f t="shared" si="8"/>
        <v>0</v>
      </c>
      <c r="BE69" s="13">
        <f t="shared" si="9"/>
        <v>0</v>
      </c>
      <c r="BF69" s="13">
        <f>IF(BE69="ano",(2*AA69+0.3+2*AB69)*C69*1.2,0)</f>
        <v>0</v>
      </c>
      <c r="BG69" s="13"/>
      <c r="BH69" s="13">
        <f t="shared" si="10"/>
        <v>0</v>
      </c>
      <c r="BI69" s="13">
        <f t="shared" si="11"/>
        <v>0</v>
      </c>
      <c r="BK69" s="13">
        <f>IF(BJ69="ano",AU69*C69,0)</f>
        <v>0</v>
      </c>
      <c r="BM69">
        <f>IF(BL69="ano",(AA69+AB69*2)*C69,0)</f>
        <v>0</v>
      </c>
    </row>
    <row r="70" spans="1:65" ht="15.75" x14ac:dyDescent="0.25">
      <c r="B70" s="84" t="s">
        <v>264</v>
      </c>
      <c r="C70" s="192">
        <v>7.61</v>
      </c>
      <c r="D70" s="237" t="s">
        <v>189</v>
      </c>
      <c r="F70" s="415">
        <f t="shared" si="1"/>
        <v>1</v>
      </c>
      <c r="G70" s="416">
        <f t="shared" si="2"/>
        <v>1</v>
      </c>
      <c r="H70" s="416"/>
      <c r="I70" s="416"/>
      <c r="J70" s="416"/>
      <c r="K70" s="416">
        <f t="shared" si="12"/>
        <v>0</v>
      </c>
      <c r="L70" s="72">
        <f>'Mezišachetní úsek'!H72</f>
        <v>0</v>
      </c>
      <c r="M70" s="72">
        <f>'Mezišachetní úsek'!I72</f>
        <v>0</v>
      </c>
      <c r="N70" s="72"/>
      <c r="O70" s="72"/>
      <c r="P70" s="416">
        <f t="shared" si="13"/>
        <v>0</v>
      </c>
      <c r="Q70" s="72">
        <f>'Mezišachetní úsek'!J72</f>
        <v>0</v>
      </c>
      <c r="R70" s="72">
        <f>'Mezišachetní úsek'!K72</f>
        <v>0</v>
      </c>
      <c r="S70" s="72">
        <f>'Mezišachetní úsek'!L72</f>
        <v>0</v>
      </c>
      <c r="T70" s="72">
        <f>'Mezišachetní úsek'!M72</f>
        <v>0</v>
      </c>
      <c r="U70" s="72">
        <f>'Mezišachetní úsek'!N72</f>
        <v>2</v>
      </c>
      <c r="V70" s="72">
        <f>'Mezišachetní úsek'!O72</f>
        <v>2</v>
      </c>
      <c r="W70" s="72">
        <f>'Mezišachetní úsek'!P72</f>
        <v>4</v>
      </c>
      <c r="X70" s="72">
        <f>'Mezišachetní úsek'!Q72</f>
        <v>36</v>
      </c>
      <c r="Y70" s="380"/>
      <c r="Z70" t="s">
        <v>184</v>
      </c>
      <c r="AA70">
        <f t="shared" si="3"/>
        <v>1.2</v>
      </c>
      <c r="AB70">
        <f t="shared" si="4"/>
        <v>1.1000000000000001</v>
      </c>
      <c r="AC70" t="str">
        <f t="shared" si="5"/>
        <v>Š30-31</v>
      </c>
      <c r="AD70" s="395"/>
      <c r="AE70" s="396"/>
      <c r="AF70" s="397"/>
      <c r="AG70" s="398">
        <f>L70*0.055*0.055*3.14</f>
        <v>0</v>
      </c>
      <c r="AH70" s="399">
        <f>Q70*0.08*0.08*3.14</f>
        <v>0</v>
      </c>
      <c r="AI70" s="398">
        <f>W70*0.35*0.35</f>
        <v>0.48999999999999994</v>
      </c>
      <c r="AJ70" s="397"/>
      <c r="AK70" s="400">
        <f>AA70*AB70</f>
        <v>1.32</v>
      </c>
      <c r="AL70" s="34">
        <f t="shared" si="6"/>
        <v>0.48999999999999994</v>
      </c>
      <c r="AM70" s="34">
        <f>(AK70-AL70)*C70</f>
        <v>6.3163000000000009</v>
      </c>
      <c r="AN70" s="235" t="s">
        <v>183</v>
      </c>
      <c r="AO70" s="34">
        <f>IF(AN70="ano",(2*AA70+0.3+2*AB70)*C70*1.2,0)</f>
        <v>0</v>
      </c>
      <c r="AP70" s="34" t="s">
        <v>249</v>
      </c>
      <c r="AQ70" s="34" t="str">
        <f>D70</f>
        <v>nástupiště</v>
      </c>
      <c r="AR70" s="34">
        <f>IF(AP70="ano",((AA70+0.2)*(AB70+0.1)-AA70*AB70)*C70,0)</f>
        <v>0</v>
      </c>
      <c r="AS70" s="34">
        <f>IF(AR70&gt;0.001,(AA70+2*AB70)*C70*1.25,0)</f>
        <v>0</v>
      </c>
      <c r="AT70" t="s">
        <v>184</v>
      </c>
      <c r="AU70" s="13">
        <f>IF(AT70="ano",AK70+$AU$20,0)</f>
        <v>2.12</v>
      </c>
      <c r="AV70" s="34">
        <f>'[1]Mezišachetní úsek'!Y72</f>
        <v>0</v>
      </c>
      <c r="AW70" s="34">
        <f>IF(AT70="ano",AU70*C70*0.1,"není")</f>
        <v>1.6133200000000003</v>
      </c>
      <c r="AX70" s="34">
        <f>'[1]Mezišachetní úsek'!AA72</f>
        <v>0</v>
      </c>
      <c r="AY70" s="34"/>
      <c r="AZ70" s="34">
        <f t="shared" si="7"/>
        <v>0</v>
      </c>
      <c r="BA70" s="154" t="str">
        <f>B70</f>
        <v>Š30-31</v>
      </c>
      <c r="BD70" s="154" t="str">
        <f t="shared" si="8"/>
        <v>Š30-31</v>
      </c>
      <c r="BE70" s="13" t="str">
        <f t="shared" si="9"/>
        <v>nebude</v>
      </c>
      <c r="BF70" s="13">
        <f>IF(BE70="ano",(2*AA70+0.3+2*AB70)*C70*1.2,0)</f>
        <v>0</v>
      </c>
      <c r="BG70" s="13"/>
      <c r="BH70" s="13" t="str">
        <f t="shared" si="10"/>
        <v>nebude</v>
      </c>
      <c r="BI70" s="13">
        <f t="shared" si="11"/>
        <v>0</v>
      </c>
      <c r="BK70" s="13">
        <f>IF(BJ70="ano",AU70*C70,0)</f>
        <v>0</v>
      </c>
      <c r="BL70" t="s">
        <v>184</v>
      </c>
      <c r="BM70">
        <f>IF(BL70="ano",(AA70+AB70*2)*C70,0)</f>
        <v>25.874000000000002</v>
      </c>
    </row>
    <row r="71" spans="1:65" ht="15.75" x14ac:dyDescent="0.25">
      <c r="B71" s="84" t="s">
        <v>265</v>
      </c>
      <c r="C71" s="192">
        <v>2</v>
      </c>
      <c r="D71" s="237" t="s">
        <v>189</v>
      </c>
      <c r="F71" s="415">
        <f t="shared" si="1"/>
        <v>0.46</v>
      </c>
      <c r="G71" s="416">
        <f t="shared" si="2"/>
        <v>0.69000000000000006</v>
      </c>
      <c r="H71" s="416"/>
      <c r="I71" s="416"/>
      <c r="J71" s="416"/>
      <c r="K71" s="416">
        <f t="shared" si="12"/>
        <v>0</v>
      </c>
      <c r="L71" s="72">
        <f>'Mezišachetní úsek'!H73</f>
        <v>0</v>
      </c>
      <c r="M71" s="72">
        <f>'Mezišachetní úsek'!I73</f>
        <v>0</v>
      </c>
      <c r="N71" s="72">
        <v>2</v>
      </c>
      <c r="O71" s="72">
        <v>3</v>
      </c>
      <c r="P71" s="416">
        <f t="shared" si="13"/>
        <v>0</v>
      </c>
      <c r="Q71" s="72">
        <f>'Mezišachetní úsek'!J73</f>
        <v>6</v>
      </c>
      <c r="R71" s="72">
        <f>'Mezišachetní úsek'!K73</f>
        <v>18</v>
      </c>
      <c r="S71" s="72">
        <f>'Mezišachetní úsek'!L73</f>
        <v>4</v>
      </c>
      <c r="T71" s="72">
        <f>'Mezišachetní úsek'!M73</f>
        <v>12</v>
      </c>
      <c r="U71" s="72">
        <f>'Mezišachetní úsek'!N73</f>
        <v>0</v>
      </c>
      <c r="V71" s="72">
        <f>'Mezišachetní úsek'!O73</f>
        <v>0</v>
      </c>
      <c r="W71" s="72">
        <f>'Mezišachetní úsek'!P73</f>
        <v>0</v>
      </c>
      <c r="X71" s="72">
        <f>'Mezišachetní úsek'!Q73</f>
        <v>0</v>
      </c>
      <c r="Y71" s="380"/>
      <c r="Z71" t="s">
        <v>184</v>
      </c>
      <c r="AA71">
        <f t="shared" si="3"/>
        <v>0.66</v>
      </c>
      <c r="AB71">
        <f t="shared" si="4"/>
        <v>0.79</v>
      </c>
      <c r="AC71" t="str">
        <f t="shared" si="5"/>
        <v>Š31-nast 1</v>
      </c>
      <c r="AD71" s="395"/>
      <c r="AE71" s="396"/>
      <c r="AF71" s="397"/>
      <c r="AG71" s="398">
        <f>L71*0.055*0.055*3.14</f>
        <v>0</v>
      </c>
      <c r="AH71" s="399">
        <f>Q71*0.08*0.08*3.14</f>
        <v>0.12057599999999999</v>
      </c>
      <c r="AI71" s="398">
        <f>W71*0.35*0.35</f>
        <v>0</v>
      </c>
      <c r="AJ71" s="397"/>
      <c r="AK71" s="400">
        <f>AA71*AB71</f>
        <v>0.52140000000000009</v>
      </c>
      <c r="AL71" s="34">
        <f t="shared" si="6"/>
        <v>0.12057599999999999</v>
      </c>
      <c r="AM71" s="34">
        <f>(AK71-AL71)*C71</f>
        <v>0.80164800000000014</v>
      </c>
      <c r="AN71" s="235" t="s">
        <v>183</v>
      </c>
      <c r="AO71" s="34">
        <f>IF(AN71="ano",(2*AA71+0.3+2*AB71)*C71*1.2,0)</f>
        <v>0</v>
      </c>
      <c r="AP71" s="34" t="s">
        <v>249</v>
      </c>
      <c r="AQ71" s="34" t="str">
        <f>D71</f>
        <v>nástupiště</v>
      </c>
      <c r="AR71" s="34">
        <f>IF(AP71="ano",((AA71+0.2)*(AB71+0.1)-AA71*AB71)*C71,0)</f>
        <v>0</v>
      </c>
      <c r="AS71" s="34">
        <f>IF(AR71&gt;0.001,(AA71+2*AB71)*C71*1.25,0)</f>
        <v>0</v>
      </c>
      <c r="AT71" t="s">
        <v>184</v>
      </c>
      <c r="AU71" s="13">
        <f>IF(AT71="ano",AK71+$AU$20,0)</f>
        <v>1.3214000000000001</v>
      </c>
      <c r="AV71" s="34">
        <f>'[1]Mezišachetní úsek'!Y73</f>
        <v>0</v>
      </c>
      <c r="AW71" s="34">
        <f>IF(AT71="ano",AU71*C71*0.1,"není")</f>
        <v>0.26428000000000001</v>
      </c>
      <c r="AX71" s="34">
        <f>'[1]Mezišachetní úsek'!AA73</f>
        <v>0</v>
      </c>
      <c r="AY71" s="34"/>
      <c r="AZ71" s="34">
        <f t="shared" si="7"/>
        <v>0</v>
      </c>
      <c r="BA71" s="154" t="str">
        <f>B71</f>
        <v>Š31-nast 1</v>
      </c>
      <c r="BD71" s="154" t="str">
        <f t="shared" si="8"/>
        <v>Š31-nast 1</v>
      </c>
      <c r="BE71" s="13" t="str">
        <f t="shared" si="9"/>
        <v>nebude</v>
      </c>
      <c r="BF71" s="13">
        <f>IF(BE71="ano",(2*AA71+0.3+2*AB71)*C71*1.2,0)</f>
        <v>0</v>
      </c>
      <c r="BG71" s="13"/>
      <c r="BH71" s="13" t="str">
        <f t="shared" si="10"/>
        <v>nebude</v>
      </c>
      <c r="BI71" s="13">
        <f t="shared" si="11"/>
        <v>0</v>
      </c>
      <c r="BK71" s="13">
        <f>IF(BJ71="ano",AU71*C71,0)</f>
        <v>0</v>
      </c>
      <c r="BL71" t="s">
        <v>184</v>
      </c>
      <c r="BM71">
        <f>IF(BL71="ano",(AA71+AB71*2)*C71,0)</f>
        <v>4.4800000000000004</v>
      </c>
    </row>
    <row r="72" spans="1:65" ht="15.75" x14ac:dyDescent="0.25">
      <c r="A72" s="403" t="s">
        <v>347</v>
      </c>
      <c r="B72" s="84"/>
      <c r="C72" s="192"/>
      <c r="D72" s="237"/>
      <c r="F72" s="415">
        <f t="shared" si="1"/>
        <v>0</v>
      </c>
      <c r="G72" s="416">
        <f t="shared" si="2"/>
        <v>0</v>
      </c>
      <c r="H72" s="416"/>
      <c r="I72" s="416"/>
      <c r="J72" s="416"/>
      <c r="K72" s="416">
        <f t="shared" si="12"/>
        <v>0</v>
      </c>
      <c r="L72" s="72">
        <f>'Mezišachetní úsek'!H74</f>
        <v>0</v>
      </c>
      <c r="M72" s="72">
        <f>'Mezišachetní úsek'!I74</f>
        <v>0</v>
      </c>
      <c r="N72" s="72"/>
      <c r="O72" s="72"/>
      <c r="P72" s="416">
        <f t="shared" si="13"/>
        <v>0</v>
      </c>
      <c r="Q72" s="72">
        <f>'Mezišachetní úsek'!J74</f>
        <v>0</v>
      </c>
      <c r="R72" s="72">
        <f>'Mezišachetní úsek'!K74</f>
        <v>0</v>
      </c>
      <c r="S72" s="72">
        <f>'Mezišachetní úsek'!L74</f>
        <v>0</v>
      </c>
      <c r="T72" s="72">
        <f>'Mezišachetní úsek'!M74</f>
        <v>0</v>
      </c>
      <c r="U72" s="72">
        <f>'Mezišachetní úsek'!N74</f>
        <v>0</v>
      </c>
      <c r="V72" s="72">
        <f>'Mezišachetní úsek'!O74</f>
        <v>0</v>
      </c>
      <c r="W72" s="72">
        <f>'Mezišachetní úsek'!P74</f>
        <v>0</v>
      </c>
      <c r="X72" s="72">
        <f>'Mezišachetní úsek'!Q74</f>
        <v>0</v>
      </c>
      <c r="Y72" s="380"/>
      <c r="AA72">
        <f t="shared" si="3"/>
        <v>0</v>
      </c>
      <c r="AB72">
        <f t="shared" si="4"/>
        <v>0</v>
      </c>
      <c r="AC72">
        <f t="shared" si="5"/>
        <v>0</v>
      </c>
      <c r="AD72" s="395"/>
      <c r="AE72" s="396"/>
      <c r="AF72" s="397"/>
      <c r="AG72" s="398">
        <f>L72*0.055*0.055*3.14</f>
        <v>0</v>
      </c>
      <c r="AH72" s="399">
        <f>Q72*0.08*0.08*3.14</f>
        <v>0</v>
      </c>
      <c r="AI72" s="398">
        <f>W72*0.35*0.35</f>
        <v>0</v>
      </c>
      <c r="AJ72" s="397"/>
      <c r="AK72" s="400">
        <f>AA72*AB72</f>
        <v>0</v>
      </c>
      <c r="AL72" s="34">
        <f t="shared" si="6"/>
        <v>0</v>
      </c>
      <c r="AM72" s="34">
        <f>(AK72-AL72)*C72</f>
        <v>0</v>
      </c>
      <c r="AN72" s="235"/>
      <c r="AO72" s="34">
        <f>IF(AN72="ano",(2*AA72+0.3+2*AB72)*C72*1.2,0)</f>
        <v>0</v>
      </c>
      <c r="AP72" s="34" t="s">
        <v>249</v>
      </c>
      <c r="AQ72" s="34">
        <f>D72</f>
        <v>0</v>
      </c>
      <c r="AR72" s="34">
        <f>IF(AP72="ano",((AA72+0.2)*(AB72+0.1)-AA72*AB72)*C72,0)</f>
        <v>0</v>
      </c>
      <c r="AS72" s="34">
        <f>IF(AR72&gt;0.001,(AA72+2*AB72)*C72*1.25,0)</f>
        <v>0</v>
      </c>
      <c r="AU72" s="13">
        <f>IF(AT72="ano",AK72+$AU$20,0)</f>
        <v>0</v>
      </c>
      <c r="AV72" s="34">
        <f>'[1]Mezišachetní úsek'!Y74</f>
        <v>4.78</v>
      </c>
      <c r="AW72" s="34" t="str">
        <f>IF(AT72="ano",AU72*C72*0.1,"není")</f>
        <v>není</v>
      </c>
      <c r="AX72" s="34">
        <f>'[1]Mezišachetní úsek'!AA74</f>
        <v>52.58</v>
      </c>
      <c r="AY72" s="34"/>
      <c r="AZ72" s="34">
        <f t="shared" si="7"/>
        <v>0</v>
      </c>
      <c r="BA72" s="154">
        <f>B72</f>
        <v>0</v>
      </c>
      <c r="BD72" s="154">
        <f t="shared" si="8"/>
        <v>0</v>
      </c>
      <c r="BE72" s="13">
        <f t="shared" si="9"/>
        <v>0</v>
      </c>
      <c r="BF72" s="13">
        <f>IF(BE72="ano",(2*AA72+0.3+2*AB72)*C72*1.2,0)</f>
        <v>0</v>
      </c>
      <c r="BG72" s="13"/>
      <c r="BH72" s="13">
        <f t="shared" si="10"/>
        <v>0</v>
      </c>
      <c r="BI72" s="13">
        <f t="shared" si="11"/>
        <v>0</v>
      </c>
      <c r="BK72" s="13">
        <f>IF(BJ72="ano",AU72*C72,0)</f>
        <v>0</v>
      </c>
      <c r="BM72">
        <f>IF(BL72="ano",(AA72+AB72*2)*C72,0)</f>
        <v>0</v>
      </c>
    </row>
    <row r="73" spans="1:65" ht="15.75" x14ac:dyDescent="0.25">
      <c r="B73" s="84" t="s">
        <v>167</v>
      </c>
      <c r="C73" s="192">
        <v>4.5999999999999996</v>
      </c>
      <c r="D73" s="237" t="s">
        <v>189</v>
      </c>
      <c r="F73" s="415">
        <f t="shared" si="1"/>
        <v>1</v>
      </c>
      <c r="G73" s="416">
        <f t="shared" si="2"/>
        <v>1</v>
      </c>
      <c r="H73" s="416"/>
      <c r="I73" s="416"/>
      <c r="J73" s="416"/>
      <c r="K73" s="416">
        <f t="shared" si="12"/>
        <v>0</v>
      </c>
      <c r="L73" s="72">
        <f>'Mezišachetní úsek'!H75</f>
        <v>0</v>
      </c>
      <c r="M73" s="72">
        <f>'Mezišachetní úsek'!I75</f>
        <v>0</v>
      </c>
      <c r="N73" s="72"/>
      <c r="O73" s="72"/>
      <c r="P73" s="416">
        <f t="shared" si="13"/>
        <v>0</v>
      </c>
      <c r="Q73" s="72">
        <f>'Mezišachetní úsek'!J75</f>
        <v>0</v>
      </c>
      <c r="R73" s="72">
        <f>'Mezišachetní úsek'!K75</f>
        <v>0</v>
      </c>
      <c r="S73" s="72">
        <f>'Mezišachetní úsek'!L75</f>
        <v>0</v>
      </c>
      <c r="T73" s="72">
        <f>'Mezišachetní úsek'!M75</f>
        <v>0</v>
      </c>
      <c r="U73" s="72">
        <f>'Mezišachetní úsek'!N75</f>
        <v>2</v>
      </c>
      <c r="V73" s="72">
        <f>'Mezišachetní úsek'!O75</f>
        <v>2</v>
      </c>
      <c r="W73" s="72">
        <f>'Mezišachetní úsek'!P75</f>
        <v>4</v>
      </c>
      <c r="X73" s="72">
        <f>'Mezišachetní úsek'!Q75</f>
        <v>24</v>
      </c>
      <c r="Y73" s="380"/>
      <c r="Z73" t="s">
        <v>184</v>
      </c>
      <c r="AA73">
        <f t="shared" si="3"/>
        <v>1.2</v>
      </c>
      <c r="AB73">
        <f t="shared" si="4"/>
        <v>1.1000000000000001</v>
      </c>
      <c r="AC73" t="str">
        <f t="shared" si="5"/>
        <v>Š31-Š32</v>
      </c>
      <c r="AD73" s="395"/>
      <c r="AE73" s="396"/>
      <c r="AF73" s="397"/>
      <c r="AG73" s="398">
        <f>L73*0.055*0.055*3.14</f>
        <v>0</v>
      </c>
      <c r="AH73" s="399">
        <f>Q73*0.08*0.08*3.14</f>
        <v>0</v>
      </c>
      <c r="AI73" s="398">
        <f>W73*0.35*0.35</f>
        <v>0.48999999999999994</v>
      </c>
      <c r="AJ73" s="397"/>
      <c r="AK73" s="400">
        <f>AA73*AB73</f>
        <v>1.32</v>
      </c>
      <c r="AL73" s="34">
        <f t="shared" si="6"/>
        <v>0.48999999999999994</v>
      </c>
      <c r="AM73" s="34">
        <f>(AK73-AL73)*C73</f>
        <v>3.8180000000000001</v>
      </c>
      <c r="AN73" s="235" t="s">
        <v>183</v>
      </c>
      <c r="AO73" s="34">
        <f>IF(AN73="ano",(2*AA73+0.3+2*AB73)*C73*1.2,0)</f>
        <v>0</v>
      </c>
      <c r="AP73" s="34" t="s">
        <v>249</v>
      </c>
      <c r="AQ73" s="34" t="str">
        <f>D73</f>
        <v>nástupiště</v>
      </c>
      <c r="AR73" s="34">
        <f>IF(AP73="ano",((AA73+0.2)*(AB73+0.1)-AA73*AB73)*C73,0)</f>
        <v>0</v>
      </c>
      <c r="AS73" s="34">
        <f>IF(AR73&gt;0.001,(AA73+2*AB73)*C73*1.25,0)</f>
        <v>0</v>
      </c>
      <c r="AT73" t="s">
        <v>184</v>
      </c>
      <c r="AU73" s="13">
        <f>IF(AT73="ano",AK73+$AU$20,0)</f>
        <v>2.12</v>
      </c>
      <c r="AV73" s="34">
        <f>'[1]Mezišachetní úsek'!Y75</f>
        <v>3.105</v>
      </c>
      <c r="AW73" s="34">
        <f>IF(AT73="ano",AU73*C73*0.1,"není")</f>
        <v>0.97519999999999996</v>
      </c>
      <c r="AX73" s="34">
        <f>'[1]Mezišachetní úsek'!AA75</f>
        <v>37.950000000000003</v>
      </c>
      <c r="AY73" s="34"/>
      <c r="AZ73" s="34">
        <f t="shared" si="7"/>
        <v>0</v>
      </c>
      <c r="BA73" s="154" t="str">
        <f>B73</f>
        <v>Š31-Š32</v>
      </c>
      <c r="BD73" s="154" t="str">
        <f t="shared" si="8"/>
        <v>Š31-Š32</v>
      </c>
      <c r="BE73" s="13" t="str">
        <f t="shared" si="9"/>
        <v>nebude</v>
      </c>
      <c r="BF73" s="13">
        <f>IF(BE73="ano",(2*AA73+0.3+2*AB73)*C73*1.2,0)</f>
        <v>0</v>
      </c>
      <c r="BG73" s="13"/>
      <c r="BH73" s="13" t="str">
        <f t="shared" si="10"/>
        <v>nebude</v>
      </c>
      <c r="BI73" s="13">
        <f t="shared" si="11"/>
        <v>0</v>
      </c>
      <c r="BK73" s="13">
        <f>IF(BJ73="ano",AU73*C73,0)</f>
        <v>0</v>
      </c>
      <c r="BL73" t="s">
        <v>184</v>
      </c>
      <c r="BM73">
        <f>IF(BL73="ano",(AA73+AB73*2)*C73,0)</f>
        <v>15.64</v>
      </c>
    </row>
    <row r="74" spans="1:65" ht="15.75" x14ac:dyDescent="0.25">
      <c r="B74" s="84" t="s">
        <v>266</v>
      </c>
      <c r="C74" s="192">
        <v>3</v>
      </c>
      <c r="D74" s="237" t="s">
        <v>189</v>
      </c>
      <c r="F74" s="415">
        <f t="shared" si="1"/>
        <v>0.35</v>
      </c>
      <c r="G74" s="416">
        <f t="shared" si="2"/>
        <v>0.52499999999999991</v>
      </c>
      <c r="H74" s="416"/>
      <c r="I74" s="416">
        <v>2</v>
      </c>
      <c r="J74" s="416">
        <v>3</v>
      </c>
      <c r="K74" s="416">
        <f t="shared" si="12"/>
        <v>0</v>
      </c>
      <c r="L74" s="72">
        <f>'Mezišachetní úsek'!H76</f>
        <v>6</v>
      </c>
      <c r="M74" s="72">
        <f>'Mezišachetní úsek'!I76</f>
        <v>24</v>
      </c>
      <c r="N74" s="72"/>
      <c r="O74" s="72"/>
      <c r="P74" s="416">
        <f t="shared" si="13"/>
        <v>0</v>
      </c>
      <c r="Q74" s="72">
        <f>'Mezišachetní úsek'!J76</f>
        <v>0</v>
      </c>
      <c r="R74" s="72">
        <f>'Mezišachetní úsek'!K76</f>
        <v>0</v>
      </c>
      <c r="S74" s="72">
        <f>'Mezišachetní úsek'!L76</f>
        <v>0</v>
      </c>
      <c r="T74" s="72">
        <f>'Mezišachetní úsek'!M76</f>
        <v>0</v>
      </c>
      <c r="U74" s="72">
        <f>'Mezišachetní úsek'!N76</f>
        <v>0</v>
      </c>
      <c r="V74" s="72">
        <f>'Mezišachetní úsek'!O76</f>
        <v>0</v>
      </c>
      <c r="W74" s="72">
        <f>'Mezišachetní úsek'!P76</f>
        <v>0</v>
      </c>
      <c r="X74" s="72">
        <f>'Mezišachetní úsek'!Q76</f>
        <v>0</v>
      </c>
      <c r="Y74" s="380"/>
      <c r="Z74" t="s">
        <v>184</v>
      </c>
      <c r="AA74">
        <f t="shared" si="3"/>
        <v>0.55000000000000004</v>
      </c>
      <c r="AB74">
        <f t="shared" si="4"/>
        <v>0.62499999999999989</v>
      </c>
      <c r="AC74" t="str">
        <f t="shared" si="5"/>
        <v>Š32-KONEC</v>
      </c>
      <c r="AD74" s="395"/>
      <c r="AE74" s="396"/>
      <c r="AF74" s="397"/>
      <c r="AG74" s="398">
        <f>L74*0.055*0.055*3.14</f>
        <v>5.6991E-2</v>
      </c>
      <c r="AH74" s="399">
        <f>Q74*0.08*0.08*3.14</f>
        <v>0</v>
      </c>
      <c r="AI74" s="398">
        <f>W74*0.35*0.35</f>
        <v>0</v>
      </c>
      <c r="AJ74" s="397"/>
      <c r="AK74" s="400">
        <f>AA74*AB74</f>
        <v>0.34374999999999994</v>
      </c>
      <c r="AL74" s="34">
        <f t="shared" si="6"/>
        <v>5.6991E-2</v>
      </c>
      <c r="AM74" s="34">
        <f>(AK74-AL74)*C74</f>
        <v>0.86027699999999974</v>
      </c>
      <c r="AN74" s="235" t="s">
        <v>183</v>
      </c>
      <c r="AO74" s="34">
        <f>IF(AN74="ano",(2*AA74+0.3+2*AB74)*C74*1.2,0)</f>
        <v>0</v>
      </c>
      <c r="AP74" s="34" t="s">
        <v>249</v>
      </c>
      <c r="AQ74" s="34" t="str">
        <f>D74</f>
        <v>nástupiště</v>
      </c>
      <c r="AR74" s="34">
        <f>IF(AP74="ano",((AA74+0.2)*(AB74+0.1)-AA74*AB74)*C74,0)</f>
        <v>0</v>
      </c>
      <c r="AS74" s="34">
        <f>IF(AR74&gt;0.001,(AA74+2*AB74)*C74*1.25,0)</f>
        <v>0</v>
      </c>
      <c r="AT74" t="s">
        <v>184</v>
      </c>
      <c r="AU74" s="13">
        <f>IF(AT74="ano",AK74+$AU$20,0)</f>
        <v>1.14375</v>
      </c>
      <c r="AV74" s="34">
        <f>'[1]Mezišachetní úsek'!Y76</f>
        <v>0</v>
      </c>
      <c r="AW74" s="34">
        <f>IF(AT74="ano",AU74*C74*0.1,"není")</f>
        <v>0.34312500000000007</v>
      </c>
      <c r="AX74" s="34">
        <f>'[1]Mezišachetní úsek'!AA76</f>
        <v>0</v>
      </c>
      <c r="AY74" s="34"/>
      <c r="AZ74" s="34">
        <f t="shared" si="7"/>
        <v>0</v>
      </c>
      <c r="BA74" s="154" t="str">
        <f>B74</f>
        <v>Š32-KONEC</v>
      </c>
      <c r="BD74" s="154" t="str">
        <f t="shared" si="8"/>
        <v>Š32-KONEC</v>
      </c>
      <c r="BE74" s="13" t="str">
        <f t="shared" si="9"/>
        <v>nebude</v>
      </c>
      <c r="BF74" s="13">
        <f>IF(BE74="ano",(2*AA74+0.3+2*AB74)*C74*1.2,0)</f>
        <v>0</v>
      </c>
      <c r="BG74" s="13"/>
      <c r="BH74" s="13" t="str">
        <f t="shared" si="10"/>
        <v>nebude</v>
      </c>
      <c r="BI74" s="13">
        <f t="shared" si="11"/>
        <v>0</v>
      </c>
      <c r="BK74" s="13">
        <f>IF(BJ74="ano",AU74*C74,0)</f>
        <v>0</v>
      </c>
      <c r="BL74" t="s">
        <v>184</v>
      </c>
      <c r="BM74">
        <f>IF(BL74="ano",(AA74+AB74*2)*C74,0)</f>
        <v>5.3999999999999995</v>
      </c>
    </row>
    <row r="75" spans="1:65" ht="15.75" x14ac:dyDescent="0.25">
      <c r="B75" s="84" t="s">
        <v>266</v>
      </c>
      <c r="C75" s="192">
        <v>5.8</v>
      </c>
      <c r="D75" s="237" t="s">
        <v>189</v>
      </c>
      <c r="F75" s="415">
        <f t="shared" si="1"/>
        <v>0.35</v>
      </c>
      <c r="G75" s="416">
        <f t="shared" si="2"/>
        <v>0.52499999999999991</v>
      </c>
      <c r="H75" s="416"/>
      <c r="I75" s="416">
        <v>2</v>
      </c>
      <c r="J75" s="416">
        <v>3</v>
      </c>
      <c r="K75" s="416">
        <f t="shared" si="12"/>
        <v>0</v>
      </c>
      <c r="L75" s="72">
        <f>'Mezišachetní úsek'!H77</f>
        <v>6</v>
      </c>
      <c r="M75" s="72">
        <f>'Mezišachetní úsek'!I77</f>
        <v>42</v>
      </c>
      <c r="N75" s="72"/>
      <c r="O75" s="72"/>
      <c r="P75" s="416">
        <f t="shared" si="13"/>
        <v>0</v>
      </c>
      <c r="Q75" s="72">
        <f>'Mezišachetní úsek'!J77</f>
        <v>0</v>
      </c>
      <c r="R75" s="72">
        <f>'Mezišachetní úsek'!K77</f>
        <v>0</v>
      </c>
      <c r="S75" s="72">
        <f>'Mezišachetní úsek'!L77</f>
        <v>0</v>
      </c>
      <c r="T75" s="72">
        <f>'Mezišachetní úsek'!M77</f>
        <v>0</v>
      </c>
      <c r="U75" s="72">
        <f>'Mezišachetní úsek'!N77</f>
        <v>0</v>
      </c>
      <c r="V75" s="72">
        <f>'Mezišachetní úsek'!O77</f>
        <v>0</v>
      </c>
      <c r="W75" s="72">
        <f>'Mezišachetní úsek'!P77</f>
        <v>0</v>
      </c>
      <c r="X75" s="72">
        <f>'Mezišachetní úsek'!Q77</f>
        <v>0</v>
      </c>
      <c r="Y75" s="380"/>
      <c r="Z75" t="s">
        <v>184</v>
      </c>
      <c r="AA75">
        <f t="shared" si="3"/>
        <v>0.55000000000000004</v>
      </c>
      <c r="AB75">
        <f t="shared" si="4"/>
        <v>0.62499999999999989</v>
      </c>
      <c r="AC75" t="str">
        <f t="shared" si="5"/>
        <v>Š32-KONEC</v>
      </c>
      <c r="AD75" s="395"/>
      <c r="AE75" s="396"/>
      <c r="AF75" s="397"/>
      <c r="AG75" s="398">
        <f>L75*0.055*0.055*3.14</f>
        <v>5.6991E-2</v>
      </c>
      <c r="AH75" s="399">
        <f>Q75*0.08*0.08*3.14</f>
        <v>0</v>
      </c>
      <c r="AI75" s="398">
        <f>W75*0.35*0.35</f>
        <v>0</v>
      </c>
      <c r="AJ75" s="397"/>
      <c r="AK75" s="400">
        <f>AA75*AB75</f>
        <v>0.34374999999999994</v>
      </c>
      <c r="AL75" s="34">
        <f t="shared" si="6"/>
        <v>5.6991E-2</v>
      </c>
      <c r="AM75" s="34">
        <f>(AK75-AL75)*C75</f>
        <v>1.6632021999999995</v>
      </c>
      <c r="AN75" s="235" t="s">
        <v>183</v>
      </c>
      <c r="AO75" s="34">
        <f>IF(AN75="ano",(2*AA75+0.3+2*AB75)*C75*1.2,0)</f>
        <v>0</v>
      </c>
      <c r="AP75" s="34" t="s">
        <v>249</v>
      </c>
      <c r="AQ75" s="34" t="str">
        <f>D75</f>
        <v>nástupiště</v>
      </c>
      <c r="AR75" s="34">
        <f>IF(AP75="ano",((AA75+0.2)*(AB75+0.1)-AA75*AB75)*C75,0)</f>
        <v>0</v>
      </c>
      <c r="AS75" s="34">
        <f>IF(AR75&gt;0.001,(AA75+2*AB75)*C75*1.25,0)</f>
        <v>0</v>
      </c>
      <c r="AT75" t="s">
        <v>184</v>
      </c>
      <c r="AU75" s="13">
        <f>IF(AT75="ano",AK75+$AU$20,0)</f>
        <v>1.14375</v>
      </c>
      <c r="AV75" s="34">
        <f>'[1]Mezišachetní úsek'!Y77</f>
        <v>0</v>
      </c>
      <c r="AW75" s="34">
        <f>IF(AT75="ano",AU75*C75*0.1,"není")</f>
        <v>0.66337500000000005</v>
      </c>
      <c r="AX75" s="34">
        <f>'[1]Mezišachetní úsek'!AA77</f>
        <v>0</v>
      </c>
      <c r="AY75" s="34"/>
      <c r="AZ75" s="34">
        <f t="shared" si="7"/>
        <v>0</v>
      </c>
      <c r="BA75" s="154" t="str">
        <f>B75</f>
        <v>Š32-KONEC</v>
      </c>
      <c r="BD75" s="154" t="str">
        <f t="shared" si="8"/>
        <v>Š32-KONEC</v>
      </c>
      <c r="BE75" s="13" t="str">
        <f t="shared" si="9"/>
        <v>nebude</v>
      </c>
      <c r="BF75" s="13">
        <f>IF(BE75="ano",(2*AA75+0.3+2*AB75)*C75*1.2,0)</f>
        <v>0</v>
      </c>
      <c r="BG75" s="13"/>
      <c r="BH75" s="13" t="str">
        <f t="shared" si="10"/>
        <v>nebude</v>
      </c>
      <c r="BI75" s="13">
        <f t="shared" si="11"/>
        <v>0</v>
      </c>
      <c r="BK75" s="13">
        <f>IF(BJ75="ano",AU75*C75,0)</f>
        <v>0</v>
      </c>
      <c r="BL75" t="s">
        <v>184</v>
      </c>
      <c r="BM75">
        <f>IF(BL75="ano",(AA75+AB75*2)*C75,0)</f>
        <v>10.44</v>
      </c>
    </row>
    <row r="76" spans="1:65" ht="15.75" x14ac:dyDescent="0.25">
      <c r="B76" s="84"/>
      <c r="C76" s="192"/>
      <c r="D76" s="237"/>
      <c r="F76" s="415">
        <f t="shared" si="1"/>
        <v>0</v>
      </c>
      <c r="G76" s="416">
        <f t="shared" si="2"/>
        <v>0</v>
      </c>
      <c r="H76" s="416"/>
      <c r="I76" s="416"/>
      <c r="J76" s="416"/>
      <c r="K76" s="416">
        <f t="shared" si="12"/>
        <v>0</v>
      </c>
      <c r="L76" s="72">
        <f>'Mezišachetní úsek'!H78</f>
        <v>0</v>
      </c>
      <c r="M76" s="72">
        <f>'Mezišachetní úsek'!I78</f>
        <v>0</v>
      </c>
      <c r="N76" s="72"/>
      <c r="O76" s="72"/>
      <c r="P76" s="416">
        <f t="shared" si="13"/>
        <v>0</v>
      </c>
      <c r="Q76" s="72">
        <f>'Mezišachetní úsek'!J78</f>
        <v>0</v>
      </c>
      <c r="R76" s="72">
        <f>'Mezišachetní úsek'!K78</f>
        <v>0</v>
      </c>
      <c r="S76" s="72">
        <f>'Mezišachetní úsek'!L78</f>
        <v>0</v>
      </c>
      <c r="T76" s="72">
        <f>'Mezišachetní úsek'!M78</f>
        <v>0</v>
      </c>
      <c r="U76" s="72">
        <f>'Mezišachetní úsek'!N78</f>
        <v>0</v>
      </c>
      <c r="V76" s="72">
        <f>'Mezišachetní úsek'!O78</f>
        <v>0</v>
      </c>
      <c r="W76" s="72">
        <f>'Mezišachetní úsek'!P78</f>
        <v>0</v>
      </c>
      <c r="X76" s="72">
        <f>'Mezišachetní úsek'!Q78</f>
        <v>0</v>
      </c>
      <c r="Y76" s="380"/>
      <c r="AA76">
        <f t="shared" si="3"/>
        <v>0</v>
      </c>
      <c r="AB76">
        <f t="shared" si="4"/>
        <v>0</v>
      </c>
      <c r="AC76">
        <f t="shared" si="5"/>
        <v>0</v>
      </c>
      <c r="AD76" s="395"/>
      <c r="AE76" s="396"/>
      <c r="AF76" s="397"/>
      <c r="AG76" s="398">
        <f>L76*0.055*0.055*3.14</f>
        <v>0</v>
      </c>
      <c r="AH76" s="399">
        <f>Q76*0.08*0.08*3.14</f>
        <v>0</v>
      </c>
      <c r="AI76" s="398">
        <f>W76*0.35*0.35</f>
        <v>0</v>
      </c>
      <c r="AJ76" s="397"/>
      <c r="AK76" s="400">
        <f>AA76*AB76</f>
        <v>0</v>
      </c>
      <c r="AL76" s="34">
        <f t="shared" si="6"/>
        <v>0</v>
      </c>
      <c r="AM76" s="34">
        <f>(AK76-AL76)*C76</f>
        <v>0</v>
      </c>
      <c r="AN76" s="235"/>
      <c r="AO76" s="34">
        <f>IF(AN76="ano",(2*AA76+0.3+2*AB76)*C76*1.2,0)</f>
        <v>0</v>
      </c>
      <c r="AP76" s="34" t="s">
        <v>249</v>
      </c>
      <c r="AQ76" s="34">
        <f>D76</f>
        <v>0</v>
      </c>
      <c r="AR76" s="34">
        <f>IF(AP76="ano",((AA76+0.2)*(AB76+0.1)-AA76*AB76)*C76,0)</f>
        <v>0</v>
      </c>
      <c r="AS76" s="34">
        <f>IF(AR76&gt;0.001,(AA76+2*AB76)*C76*1.25,0)</f>
        <v>0</v>
      </c>
      <c r="AU76" s="13">
        <f>IF(AT76="ano",AK76+$AU$20,0)</f>
        <v>0</v>
      </c>
      <c r="AV76" s="34">
        <f>'[1]Mezišachetní úsek'!Y78</f>
        <v>5.5600000000000005</v>
      </c>
      <c r="AW76" s="34" t="str">
        <f>IF(AT76="ano",AU76*C76*0.1,"není")</f>
        <v>není</v>
      </c>
      <c r="AX76" s="34">
        <f>'[1]Mezišachetní úsek'!AA78</f>
        <v>61.160000000000004</v>
      </c>
      <c r="AY76" s="34"/>
      <c r="AZ76" s="34">
        <f t="shared" si="7"/>
        <v>0</v>
      </c>
      <c r="BA76" s="154">
        <f>B76</f>
        <v>0</v>
      </c>
      <c r="BD76" s="154">
        <f t="shared" si="8"/>
        <v>0</v>
      </c>
      <c r="BE76" s="13">
        <f t="shared" si="9"/>
        <v>0</v>
      </c>
      <c r="BF76" s="13">
        <f>IF(BE76="ano",(2*AA76+0.3+2*AB76)*C76*1.2,0)</f>
        <v>0</v>
      </c>
      <c r="BG76" s="13"/>
      <c r="BH76" s="13">
        <f t="shared" si="10"/>
        <v>0</v>
      </c>
      <c r="BI76" s="13">
        <f t="shared" si="11"/>
        <v>0</v>
      </c>
      <c r="BK76" s="13">
        <f>IF(BJ76="ano",AU76*C76,0)</f>
        <v>0</v>
      </c>
      <c r="BM76">
        <f>IF(BL76="ano",(AA76+AB76*2)*C76,0)</f>
        <v>0</v>
      </c>
    </row>
    <row r="77" spans="1:65" ht="15.75" x14ac:dyDescent="0.25">
      <c r="B77" s="84" t="s">
        <v>267</v>
      </c>
      <c r="C77" s="192">
        <v>20.010000000000002</v>
      </c>
      <c r="D77" s="237" t="s">
        <v>189</v>
      </c>
      <c r="F77" s="415">
        <f t="shared" si="1"/>
        <v>0.5</v>
      </c>
      <c r="G77" s="416">
        <f t="shared" si="2"/>
        <v>1</v>
      </c>
      <c r="H77" s="416"/>
      <c r="I77" s="416"/>
      <c r="J77" s="416"/>
      <c r="K77" s="416">
        <f t="shared" si="12"/>
        <v>0</v>
      </c>
      <c r="L77" s="72">
        <f>'Mezišachetní úsek'!H79</f>
        <v>0</v>
      </c>
      <c r="M77" s="72">
        <f>'Mezišachetní úsek'!I79</f>
        <v>0</v>
      </c>
      <c r="N77" s="72"/>
      <c r="O77" s="72"/>
      <c r="P77" s="416">
        <f t="shared" si="13"/>
        <v>0</v>
      </c>
      <c r="Q77" s="72">
        <f>'Mezišachetní úsek'!J79</f>
        <v>0</v>
      </c>
      <c r="R77" s="72">
        <f>'Mezišachetní úsek'!K79</f>
        <v>0</v>
      </c>
      <c r="S77" s="72">
        <f>'Mezišachetní úsek'!L79</f>
        <v>0</v>
      </c>
      <c r="T77" s="72">
        <f>'Mezišachetní úsek'!M79</f>
        <v>0</v>
      </c>
      <c r="U77" s="72">
        <f>'Mezišachetní úsek'!N79</f>
        <v>1</v>
      </c>
      <c r="V77" s="72">
        <f>'Mezišachetní úsek'!O79</f>
        <v>2</v>
      </c>
      <c r="W77" s="72">
        <f>'Mezišachetní úsek'!P79</f>
        <v>2</v>
      </c>
      <c r="X77" s="72">
        <f>'Mezišachetní úsek'!Q79</f>
        <v>42</v>
      </c>
      <c r="Y77" s="380"/>
      <c r="Z77" t="s">
        <v>184</v>
      </c>
      <c r="AA77">
        <f t="shared" si="3"/>
        <v>0.7</v>
      </c>
      <c r="AB77">
        <f t="shared" si="4"/>
        <v>1.1000000000000001</v>
      </c>
      <c r="AC77" t="str">
        <f t="shared" si="5"/>
        <v>Š30-Š33</v>
      </c>
      <c r="AD77" s="395"/>
      <c r="AE77" s="396"/>
      <c r="AF77" s="397"/>
      <c r="AG77" s="398">
        <f>L77*0.055*0.055*3.14</f>
        <v>0</v>
      </c>
      <c r="AH77" s="399">
        <f>Q77*0.08*0.08*3.14</f>
        <v>0</v>
      </c>
      <c r="AI77" s="398">
        <f>W77*0.35*0.35</f>
        <v>0.24499999999999997</v>
      </c>
      <c r="AJ77" s="397"/>
      <c r="AK77" s="400">
        <f>AA77*AB77</f>
        <v>0.77</v>
      </c>
      <c r="AL77" s="34">
        <f t="shared" si="6"/>
        <v>0.24499999999999997</v>
      </c>
      <c r="AM77" s="34">
        <f>(AK77-AL77)*C77</f>
        <v>10.505250000000002</v>
      </c>
      <c r="AN77" s="235" t="s">
        <v>183</v>
      </c>
      <c r="AO77" s="34">
        <f>IF(AN77="ano",(2*AA77+0.3+2*AB77)*C77*1.2,0)</f>
        <v>0</v>
      </c>
      <c r="AP77" s="34" t="s">
        <v>249</v>
      </c>
      <c r="AQ77" s="34" t="str">
        <f>D77</f>
        <v>nástupiště</v>
      </c>
      <c r="AR77" s="34">
        <f>IF(AP77="ano",((AA77+0.2)*(AB77+0.1)-AA77*AB77)*C77,0)</f>
        <v>0</v>
      </c>
      <c r="AS77" s="34">
        <f>IF(AR77&gt;0.001,(AA77+2*AB77)*C77*1.25,0)</f>
        <v>0</v>
      </c>
      <c r="AT77" t="s">
        <v>184</v>
      </c>
      <c r="AU77" s="13">
        <f>IF(AT77="ano",AK77+$AU$20,0)</f>
        <v>1.57</v>
      </c>
      <c r="AV77" s="34">
        <f>'[1]Mezišachetní úsek'!Y79</f>
        <v>0</v>
      </c>
      <c r="AW77" s="34">
        <f>IF(AT77="ano",AU77*C77*0.1,"není")</f>
        <v>3.1415700000000006</v>
      </c>
      <c r="AX77" s="34">
        <f>'[1]Mezišachetní úsek'!AA79</f>
        <v>0</v>
      </c>
      <c r="AY77" s="34"/>
      <c r="AZ77" s="34">
        <f t="shared" si="7"/>
        <v>0</v>
      </c>
      <c r="BA77" s="154" t="str">
        <f>B77</f>
        <v>Š30-Š33</v>
      </c>
      <c r="BD77" s="154" t="str">
        <f t="shared" si="8"/>
        <v>Š30-Š33</v>
      </c>
      <c r="BE77" s="13" t="str">
        <f t="shared" si="9"/>
        <v>nebude</v>
      </c>
      <c r="BF77" s="13">
        <f>IF(BE77="ano",(2*AA77+0.3+2*AB77)*C77*1.2,0)</f>
        <v>0</v>
      </c>
      <c r="BG77" s="13"/>
      <c r="BH77" s="13" t="str">
        <f t="shared" si="10"/>
        <v>nebude</v>
      </c>
      <c r="BI77" s="13">
        <f t="shared" si="11"/>
        <v>0</v>
      </c>
      <c r="BK77" s="13">
        <f>IF(BJ77="ano",AU77*C77,0)</f>
        <v>0</v>
      </c>
      <c r="BL77" t="s">
        <v>184</v>
      </c>
      <c r="BM77">
        <f>IF(BL77="ano",(AA77+AB77*2)*C77,0)</f>
        <v>58.029000000000011</v>
      </c>
    </row>
    <row r="78" spans="1:65" ht="15.75" x14ac:dyDescent="0.25">
      <c r="B78" s="84"/>
      <c r="C78" s="192"/>
      <c r="D78" s="237"/>
      <c r="F78" s="415">
        <f t="shared" si="1"/>
        <v>0</v>
      </c>
      <c r="G78" s="416">
        <f t="shared" si="2"/>
        <v>0</v>
      </c>
      <c r="H78" s="416"/>
      <c r="I78" s="416"/>
      <c r="J78" s="416"/>
      <c r="K78" s="416">
        <f t="shared" si="12"/>
        <v>0</v>
      </c>
      <c r="L78" s="72">
        <f>'Mezišachetní úsek'!H80</f>
        <v>0</v>
      </c>
      <c r="M78" s="72">
        <f>'Mezišachetní úsek'!I80</f>
        <v>0</v>
      </c>
      <c r="N78" s="72"/>
      <c r="O78" s="72"/>
      <c r="P78" s="416">
        <f t="shared" si="13"/>
        <v>0</v>
      </c>
      <c r="Q78" s="72">
        <f>'Mezišachetní úsek'!J80</f>
        <v>0</v>
      </c>
      <c r="R78" s="72">
        <f>'Mezišachetní úsek'!K80</f>
        <v>0</v>
      </c>
      <c r="S78" s="72">
        <f>'Mezišachetní úsek'!L80</f>
        <v>0</v>
      </c>
      <c r="T78" s="72">
        <f>'Mezišachetní úsek'!M80</f>
        <v>0</v>
      </c>
      <c r="U78" s="72">
        <f>'Mezišachetní úsek'!N80</f>
        <v>0</v>
      </c>
      <c r="V78" s="72">
        <f>'Mezišachetní úsek'!O80</f>
        <v>0</v>
      </c>
      <c r="W78" s="72">
        <f>'Mezišachetní úsek'!P80</f>
        <v>0</v>
      </c>
      <c r="X78" s="72">
        <f>'Mezišachetní úsek'!Q80</f>
        <v>0</v>
      </c>
      <c r="Y78" s="380"/>
      <c r="AA78">
        <f t="shared" si="3"/>
        <v>0</v>
      </c>
      <c r="AB78">
        <f t="shared" si="4"/>
        <v>0</v>
      </c>
      <c r="AC78">
        <f t="shared" si="5"/>
        <v>0</v>
      </c>
      <c r="AD78" s="395"/>
      <c r="AE78" s="396"/>
      <c r="AF78" s="397"/>
      <c r="AG78" s="398">
        <f>L78*0.055*0.055*3.14</f>
        <v>0</v>
      </c>
      <c r="AH78" s="399">
        <f>Q78*0.08*0.08*3.14</f>
        <v>0</v>
      </c>
      <c r="AI78" s="398">
        <f>W78*0.35*0.35</f>
        <v>0</v>
      </c>
      <c r="AJ78" s="397"/>
      <c r="AK78" s="400">
        <f>AA78*AB78</f>
        <v>0</v>
      </c>
      <c r="AL78" s="34">
        <f t="shared" si="6"/>
        <v>0</v>
      </c>
      <c r="AM78" s="34">
        <f>(AK78-AL78)*C78</f>
        <v>0</v>
      </c>
      <c r="AN78" s="235"/>
      <c r="AO78" s="34">
        <f>IF(AN78="ano",(2*AA78+0.3+2*AB78)*C78*1.2,0)</f>
        <v>0</v>
      </c>
      <c r="AP78" s="34" t="s">
        <v>249</v>
      </c>
      <c r="AQ78" s="34">
        <f>D78</f>
        <v>0</v>
      </c>
      <c r="AR78" s="34">
        <f>IF(AP78="ano",((AA78+0.2)*(AB78+0.1)-AA78*AB78)*C78,0)</f>
        <v>0</v>
      </c>
      <c r="AS78" s="34">
        <f>IF(AR78&gt;0.001,(AA78+2*AB78)*C78*1.25,0)</f>
        <v>0</v>
      </c>
      <c r="AU78" s="13">
        <f>IF(AT78="ano",AK78+$AU$20,0)</f>
        <v>0</v>
      </c>
      <c r="AV78" s="34">
        <f>'[1]Mezišachetní úsek'!Y80</f>
        <v>0</v>
      </c>
      <c r="AW78" s="34" t="str">
        <f>IF(AT78="ano",AU78*C78*0.1,"není")</f>
        <v>není</v>
      </c>
      <c r="AX78" s="34">
        <f>'[1]Mezišachetní úsek'!AA80</f>
        <v>0</v>
      </c>
      <c r="AY78" s="34"/>
      <c r="AZ78" s="34">
        <f t="shared" si="7"/>
        <v>0</v>
      </c>
      <c r="BA78" s="154">
        <f>B78</f>
        <v>0</v>
      </c>
      <c r="BD78" s="154">
        <f t="shared" si="8"/>
        <v>0</v>
      </c>
      <c r="BE78" s="13">
        <f t="shared" si="9"/>
        <v>0</v>
      </c>
      <c r="BF78" s="13">
        <f>IF(BE78="ano",(2*AA78+0.3+2*AB78)*C78*1.2,0)</f>
        <v>0</v>
      </c>
      <c r="BG78" s="13"/>
      <c r="BH78" s="13">
        <f t="shared" si="10"/>
        <v>0</v>
      </c>
      <c r="BI78" s="13">
        <f t="shared" si="11"/>
        <v>0</v>
      </c>
      <c r="BK78" s="13">
        <f>IF(BJ78="ano",AU78*C78,0)</f>
        <v>0</v>
      </c>
      <c r="BM78">
        <f>IF(BL78="ano",(AA78+AB78*2)*C78,0)</f>
        <v>0</v>
      </c>
    </row>
    <row r="79" spans="1:65" ht="15.75" x14ac:dyDescent="0.25">
      <c r="B79" s="84" t="s">
        <v>168</v>
      </c>
      <c r="C79" s="192">
        <v>12.97</v>
      </c>
      <c r="D79" s="237" t="s">
        <v>189</v>
      </c>
      <c r="F79" s="415">
        <f t="shared" si="1"/>
        <v>0.5</v>
      </c>
      <c r="G79" s="416">
        <f t="shared" si="2"/>
        <v>1</v>
      </c>
      <c r="H79" s="416"/>
      <c r="I79" s="416"/>
      <c r="J79" s="416"/>
      <c r="K79" s="416">
        <f t="shared" si="12"/>
        <v>0</v>
      </c>
      <c r="L79" s="72">
        <f>'Mezišachetní úsek'!H81</f>
        <v>0</v>
      </c>
      <c r="M79" s="72">
        <f>'Mezišachetní úsek'!I81</f>
        <v>0</v>
      </c>
      <c r="N79" s="72"/>
      <c r="O79" s="72"/>
      <c r="P79" s="416">
        <f t="shared" si="13"/>
        <v>0</v>
      </c>
      <c r="Q79" s="72">
        <f>'Mezišachetní úsek'!J81</f>
        <v>0</v>
      </c>
      <c r="R79" s="72">
        <f>'Mezišachetní úsek'!K81</f>
        <v>0</v>
      </c>
      <c r="S79" s="72">
        <f>'Mezišachetní úsek'!L81</f>
        <v>0</v>
      </c>
      <c r="T79" s="72">
        <f>'Mezišachetní úsek'!M81</f>
        <v>0</v>
      </c>
      <c r="U79" s="72">
        <f>'Mezišachetní úsek'!N81</f>
        <v>1</v>
      </c>
      <c r="V79" s="72">
        <f>'Mezišachetní úsek'!O81</f>
        <v>2</v>
      </c>
      <c r="W79" s="72">
        <f>'Mezišachetní úsek'!P81</f>
        <v>2</v>
      </c>
      <c r="X79" s="72">
        <f>'Mezišachetní úsek'!Q81</f>
        <v>28</v>
      </c>
      <c r="Y79" s="380"/>
      <c r="Z79" t="s">
        <v>184</v>
      </c>
      <c r="AA79">
        <f t="shared" si="3"/>
        <v>0.7</v>
      </c>
      <c r="AB79">
        <f t="shared" si="4"/>
        <v>1.1000000000000001</v>
      </c>
      <c r="AC79" t="str">
        <f t="shared" si="5"/>
        <v>Š33-Š34</v>
      </c>
      <c r="AD79" s="395"/>
      <c r="AE79" s="396"/>
      <c r="AF79" s="397"/>
      <c r="AG79" s="398">
        <f>L79*0.055*0.055*3.14</f>
        <v>0</v>
      </c>
      <c r="AH79" s="399">
        <f>Q79*0.08*0.08*3.14</f>
        <v>0</v>
      </c>
      <c r="AI79" s="398">
        <f>W79*0.35*0.35</f>
        <v>0.24499999999999997</v>
      </c>
      <c r="AJ79" s="397"/>
      <c r="AK79" s="400">
        <f>AA79*AB79</f>
        <v>0.77</v>
      </c>
      <c r="AL79" s="34">
        <f t="shared" si="6"/>
        <v>0.24499999999999997</v>
      </c>
      <c r="AM79" s="34">
        <f>(AK79-AL79)*C79</f>
        <v>6.8092500000000005</v>
      </c>
      <c r="AN79" s="235" t="s">
        <v>183</v>
      </c>
      <c r="AO79" s="34">
        <f>IF(AN79="ano",(2*AA79+0.3+2*AB79)*C79*1.2,0)</f>
        <v>0</v>
      </c>
      <c r="AP79" s="34" t="s">
        <v>249</v>
      </c>
      <c r="AQ79" s="34" t="str">
        <f>D79</f>
        <v>nástupiště</v>
      </c>
      <c r="AR79" s="34">
        <f>IF(AP79="ano",((AA79+0.2)*(AB79+0.1)-AA79*AB79)*C79,0)</f>
        <v>0</v>
      </c>
      <c r="AS79" s="34">
        <f>IF(AR79&gt;0.001,(AA79+2*AB79)*C79*1.25,0)</f>
        <v>0</v>
      </c>
      <c r="AT79" t="s">
        <v>184</v>
      </c>
      <c r="AU79" s="13">
        <f>IF(AT79="ano",AK79+$AU$20,0)</f>
        <v>1.57</v>
      </c>
      <c r="AV79" s="34">
        <f>'[1]Mezišachetní úsek'!Y81</f>
        <v>0</v>
      </c>
      <c r="AW79" s="34">
        <f>IF(AT79="ano",AU79*C79*0.1,"není")</f>
        <v>2.0362900000000006</v>
      </c>
      <c r="AX79" s="34">
        <f>'[1]Mezišachetní úsek'!AA81</f>
        <v>0</v>
      </c>
      <c r="AY79" s="34"/>
      <c r="AZ79" s="34">
        <f t="shared" si="7"/>
        <v>0</v>
      </c>
      <c r="BA79" s="154" t="str">
        <f>B79</f>
        <v>Š33-Š34</v>
      </c>
      <c r="BD79" s="154" t="str">
        <f t="shared" si="8"/>
        <v>Š33-Š34</v>
      </c>
      <c r="BE79" s="13" t="str">
        <f t="shared" si="9"/>
        <v>nebude</v>
      </c>
      <c r="BF79" s="13">
        <f>IF(BE79="ano",(2*AA79+0.3+2*AB79)*C79*1.2,0)</f>
        <v>0</v>
      </c>
      <c r="BG79" s="13"/>
      <c r="BH79" s="13" t="str">
        <f t="shared" si="10"/>
        <v>nebude</v>
      </c>
      <c r="BI79" s="13">
        <f t="shared" si="11"/>
        <v>0</v>
      </c>
      <c r="BK79" s="13">
        <f>IF(BJ79="ano",AU79*C79,0)</f>
        <v>0</v>
      </c>
      <c r="BL79" t="s">
        <v>184</v>
      </c>
      <c r="BM79">
        <f>IF(BL79="ano",(AA79+AB79*2)*C79,0)</f>
        <v>37.613000000000007</v>
      </c>
    </row>
    <row r="80" spans="1:65" ht="15.75" x14ac:dyDescent="0.25">
      <c r="B80" s="84" t="s">
        <v>268</v>
      </c>
      <c r="C80" s="192">
        <v>16.89</v>
      </c>
      <c r="D80" s="237" t="s">
        <v>189</v>
      </c>
      <c r="F80" s="415">
        <f t="shared" si="1"/>
        <v>0.5</v>
      </c>
      <c r="G80" s="416">
        <f t="shared" si="2"/>
        <v>1</v>
      </c>
      <c r="H80" s="416"/>
      <c r="I80" s="416"/>
      <c r="J80" s="416"/>
      <c r="K80" s="416">
        <f t="shared" si="12"/>
        <v>0</v>
      </c>
      <c r="L80" s="72">
        <f>'Mezišachetní úsek'!H82</f>
        <v>0</v>
      </c>
      <c r="M80" s="72">
        <f>'Mezišachetní úsek'!I82</f>
        <v>0</v>
      </c>
      <c r="N80" s="72"/>
      <c r="O80" s="72"/>
      <c r="P80" s="416">
        <f t="shared" si="13"/>
        <v>0</v>
      </c>
      <c r="Q80" s="72">
        <f>'Mezišachetní úsek'!J82</f>
        <v>0</v>
      </c>
      <c r="R80" s="72">
        <f>'Mezišachetní úsek'!K82</f>
        <v>0</v>
      </c>
      <c r="S80" s="72">
        <f>'Mezišachetní úsek'!L82</f>
        <v>0</v>
      </c>
      <c r="T80" s="72">
        <f>'Mezišachetní úsek'!M82</f>
        <v>0</v>
      </c>
      <c r="U80" s="72">
        <f>'Mezišachetní úsek'!N82</f>
        <v>1</v>
      </c>
      <c r="V80" s="72">
        <f>'Mezišachetní úsek'!O82</f>
        <v>2</v>
      </c>
      <c r="W80" s="72">
        <f>'Mezišachetní úsek'!P82</f>
        <v>2</v>
      </c>
      <c r="X80" s="72">
        <f>'Mezišachetní úsek'!Q82</f>
        <v>36</v>
      </c>
      <c r="Y80" s="380"/>
      <c r="Z80" t="s">
        <v>184</v>
      </c>
      <c r="AA80">
        <f t="shared" si="3"/>
        <v>0.7</v>
      </c>
      <c r="AB80">
        <f t="shared" si="4"/>
        <v>1.1000000000000001</v>
      </c>
      <c r="AC80" t="str">
        <f t="shared" si="5"/>
        <v>Š34-Š35</v>
      </c>
      <c r="AD80" s="395"/>
      <c r="AE80" s="396"/>
      <c r="AF80" s="397"/>
      <c r="AG80" s="398">
        <f>L80*0.055*0.055*3.14</f>
        <v>0</v>
      </c>
      <c r="AH80" s="399">
        <f>Q80*0.08*0.08*3.14</f>
        <v>0</v>
      </c>
      <c r="AI80" s="398">
        <f>W80*0.35*0.35</f>
        <v>0.24499999999999997</v>
      </c>
      <c r="AJ80" s="397"/>
      <c r="AK80" s="400">
        <f>AA80*AB80</f>
        <v>0.77</v>
      </c>
      <c r="AL80" s="34">
        <f t="shared" si="6"/>
        <v>0.24499999999999997</v>
      </c>
      <c r="AM80" s="34">
        <f>(AK80-AL80)*C80</f>
        <v>8.8672500000000003</v>
      </c>
      <c r="AN80" s="235" t="s">
        <v>183</v>
      </c>
      <c r="AO80" s="34">
        <f>IF(AN80="ano",(2*AA80+0.3+2*AB80)*C80*1.2,0)</f>
        <v>0</v>
      </c>
      <c r="AP80" s="34" t="s">
        <v>249</v>
      </c>
      <c r="AQ80" s="34" t="str">
        <f>D80</f>
        <v>nástupiště</v>
      </c>
      <c r="AR80" s="34">
        <f>IF(AP80="ano",((AA80+0.2)*(AB80+0.1)-AA80*AB80)*C80,0)</f>
        <v>0</v>
      </c>
      <c r="AS80" s="34">
        <f>IF(AR80&gt;0.001,(AA80+2*AB80)*C80*1.25,0)</f>
        <v>0</v>
      </c>
      <c r="AT80" t="s">
        <v>184</v>
      </c>
      <c r="AU80" s="13">
        <f>IF(AT80="ano",AK80+$AU$20,0)</f>
        <v>1.57</v>
      </c>
      <c r="AV80" s="34">
        <f>'[1]Mezišachetní úsek'!Y82</f>
        <v>4.83</v>
      </c>
      <c r="AW80" s="34">
        <f>IF(AT80="ano",AU80*C80*0.1,"není")</f>
        <v>2.6517300000000006</v>
      </c>
      <c r="AX80" s="34">
        <f>'[1]Mezišachetní úsek'!AA82</f>
        <v>53.13</v>
      </c>
      <c r="AY80" s="34"/>
      <c r="AZ80" s="34">
        <f t="shared" si="7"/>
        <v>0</v>
      </c>
      <c r="BA80" s="154" t="str">
        <f>B80</f>
        <v>Š34-Š35</v>
      </c>
      <c r="BD80" s="154" t="str">
        <f t="shared" si="8"/>
        <v>Š34-Š35</v>
      </c>
      <c r="BE80" s="13" t="str">
        <f t="shared" si="9"/>
        <v>nebude</v>
      </c>
      <c r="BF80" s="13">
        <f>IF(BE80="ano",(2*AA80+0.3+2*AB80)*C80*1.2,0)</f>
        <v>0</v>
      </c>
      <c r="BG80" s="13"/>
      <c r="BH80" s="13" t="str">
        <f t="shared" si="10"/>
        <v>nebude</v>
      </c>
      <c r="BI80" s="13">
        <f t="shared" si="11"/>
        <v>0</v>
      </c>
      <c r="BK80" s="13">
        <f>IF(BJ80="ano",AU80*C80,0)</f>
        <v>0</v>
      </c>
      <c r="BL80" t="s">
        <v>184</v>
      </c>
      <c r="BM80">
        <f>IF(BL80="ano",(AA80+AB80*2)*C80,0)</f>
        <v>48.981000000000009</v>
      </c>
    </row>
    <row r="81" spans="2:65" ht="15.75" x14ac:dyDescent="0.25">
      <c r="B81" s="84" t="s">
        <v>240</v>
      </c>
      <c r="C81" s="192">
        <v>21.26</v>
      </c>
      <c r="D81" s="237" t="s">
        <v>189</v>
      </c>
      <c r="F81" s="415">
        <f t="shared" si="1"/>
        <v>0.5</v>
      </c>
      <c r="G81" s="416">
        <f t="shared" si="2"/>
        <v>1</v>
      </c>
      <c r="H81" s="416"/>
      <c r="I81" s="416"/>
      <c r="J81" s="416"/>
      <c r="K81" s="416">
        <f t="shared" si="12"/>
        <v>0</v>
      </c>
      <c r="L81" s="72">
        <f>'Mezišachetní úsek'!H83</f>
        <v>0</v>
      </c>
      <c r="M81" s="72">
        <f>'Mezišachetní úsek'!I83</f>
        <v>0</v>
      </c>
      <c r="N81" s="72"/>
      <c r="O81" s="72"/>
      <c r="P81" s="416">
        <f t="shared" si="13"/>
        <v>0</v>
      </c>
      <c r="Q81" s="72">
        <f>'Mezišachetní úsek'!J83</f>
        <v>0</v>
      </c>
      <c r="R81" s="72">
        <f>'Mezišachetní úsek'!K83</f>
        <v>0</v>
      </c>
      <c r="S81" s="72">
        <f>'Mezišachetní úsek'!L83</f>
        <v>0</v>
      </c>
      <c r="T81" s="72">
        <f>'Mezišachetní úsek'!M83</f>
        <v>0</v>
      </c>
      <c r="U81" s="72">
        <f>'Mezišachetní úsek'!N83</f>
        <v>1</v>
      </c>
      <c r="V81" s="72">
        <f>'Mezišachetní úsek'!O83</f>
        <v>2</v>
      </c>
      <c r="W81" s="72">
        <f>'Mezišachetní úsek'!P83</f>
        <v>2</v>
      </c>
      <c r="X81" s="72">
        <f>'Mezišachetní úsek'!Q83</f>
        <v>44</v>
      </c>
      <c r="Y81" s="380"/>
      <c r="Z81" t="s">
        <v>184</v>
      </c>
      <c r="AA81">
        <f t="shared" si="3"/>
        <v>0.7</v>
      </c>
      <c r="AB81">
        <f t="shared" si="4"/>
        <v>1.1000000000000001</v>
      </c>
      <c r="AC81" t="str">
        <f t="shared" si="5"/>
        <v>Š35-Š36</v>
      </c>
      <c r="AD81" s="395"/>
      <c r="AE81" s="396"/>
      <c r="AF81" s="397"/>
      <c r="AG81" s="398">
        <f>L81*0.055*0.055*3.14</f>
        <v>0</v>
      </c>
      <c r="AH81" s="399">
        <f>Q81*0.08*0.08*3.14</f>
        <v>0</v>
      </c>
      <c r="AI81" s="398">
        <f>W81*0.35*0.35</f>
        <v>0.24499999999999997</v>
      </c>
      <c r="AJ81" s="397"/>
      <c r="AK81" s="400">
        <f>AA81*AB81</f>
        <v>0.77</v>
      </c>
      <c r="AL81" s="34">
        <f t="shared" si="6"/>
        <v>0.24499999999999997</v>
      </c>
      <c r="AM81" s="34">
        <f>(AK81-AL81)*C81</f>
        <v>11.161500000000002</v>
      </c>
      <c r="AN81" s="235" t="s">
        <v>183</v>
      </c>
      <c r="AO81" s="34">
        <f>IF(AN81="ano",(2*AA81+0.3+2*AB81)*C81*1.2,0)</f>
        <v>0</v>
      </c>
      <c r="AP81" s="34" t="s">
        <v>249</v>
      </c>
      <c r="AQ81" s="34" t="str">
        <f>D81</f>
        <v>nástupiště</v>
      </c>
      <c r="AR81" s="34">
        <f>IF(AP81="ano",((AA81+0.2)*(AB81+0.1)-AA81*AB81)*C81,0)</f>
        <v>0</v>
      </c>
      <c r="AS81" s="34">
        <f>IF(AR81&gt;0.001,(AA81+2*AB81)*C81*1.25,0)</f>
        <v>0</v>
      </c>
      <c r="AT81" t="s">
        <v>184</v>
      </c>
      <c r="AU81" s="13">
        <f>IF(AT81="ano",AK81+$AU$20,0)</f>
        <v>1.57</v>
      </c>
      <c r="AV81" s="34">
        <f>'[1]Mezišachetní úsek'!Y83</f>
        <v>0</v>
      </c>
      <c r="AW81" s="34">
        <f>IF(AT81="ano",AU81*C81*0.1,"není")</f>
        <v>3.3378200000000007</v>
      </c>
      <c r="AX81" s="34">
        <f>'[1]Mezišachetní úsek'!AA83</f>
        <v>0</v>
      </c>
      <c r="AY81" s="34"/>
      <c r="AZ81" s="34">
        <f t="shared" si="7"/>
        <v>0</v>
      </c>
      <c r="BA81" s="154" t="str">
        <f>B81</f>
        <v>Š35-Š36</v>
      </c>
      <c r="BD81" s="154" t="str">
        <f t="shared" si="8"/>
        <v>Š35-Š36</v>
      </c>
      <c r="BE81" s="13" t="str">
        <f t="shared" si="9"/>
        <v>nebude</v>
      </c>
      <c r="BF81" s="13">
        <f>IF(BE81="ano",(2*AA81+0.3+2*AB81)*C81*1.2,0)</f>
        <v>0</v>
      </c>
      <c r="BG81" s="13"/>
      <c r="BH81" s="13" t="str">
        <f t="shared" si="10"/>
        <v>nebude</v>
      </c>
      <c r="BI81" s="13">
        <f t="shared" si="11"/>
        <v>0</v>
      </c>
      <c r="BK81" s="13">
        <f>IF(BJ81="ano",AU81*C81,0)</f>
        <v>0</v>
      </c>
      <c r="BL81" t="s">
        <v>184</v>
      </c>
      <c r="BM81">
        <f>IF(BL81="ano",(AA81+AB81*2)*C81,0)</f>
        <v>61.654000000000011</v>
      </c>
    </row>
    <row r="82" spans="2:65" ht="15.75" x14ac:dyDescent="0.25">
      <c r="B82" s="84" t="s">
        <v>241</v>
      </c>
      <c r="C82" s="192">
        <v>32.979999999999997</v>
      </c>
      <c r="D82" s="237" t="s">
        <v>189</v>
      </c>
      <c r="F82" s="415">
        <f t="shared" si="1"/>
        <v>1</v>
      </c>
      <c r="G82" s="416">
        <f t="shared" si="2"/>
        <v>1</v>
      </c>
      <c r="H82" s="416"/>
      <c r="I82" s="416"/>
      <c r="J82" s="416"/>
      <c r="K82" s="416">
        <f t="shared" si="12"/>
        <v>0</v>
      </c>
      <c r="L82" s="72">
        <f>'Mezišachetní úsek'!H84</f>
        <v>0</v>
      </c>
      <c r="M82" s="72">
        <f>'Mezišachetní úsek'!I84</f>
        <v>0</v>
      </c>
      <c r="N82" s="72"/>
      <c r="O82" s="72"/>
      <c r="P82" s="416">
        <f t="shared" si="13"/>
        <v>0</v>
      </c>
      <c r="Q82" s="72">
        <f>'Mezišachetní úsek'!J84</f>
        <v>0</v>
      </c>
      <c r="R82" s="72">
        <f>'Mezišachetní úsek'!K84</f>
        <v>0</v>
      </c>
      <c r="S82" s="72">
        <f>'Mezišachetní úsek'!L84</f>
        <v>0</v>
      </c>
      <c r="T82" s="72">
        <f>'Mezišachetní úsek'!M84</f>
        <v>0</v>
      </c>
      <c r="U82" s="72">
        <f>'Mezišachetní úsek'!N84</f>
        <v>2</v>
      </c>
      <c r="V82" s="72">
        <f>'Mezišachetní úsek'!O84</f>
        <v>2</v>
      </c>
      <c r="W82" s="72">
        <f>'Mezišachetní úsek'!P84</f>
        <v>3</v>
      </c>
      <c r="X82" s="72">
        <f>'Mezišachetní úsek'!Q84</f>
        <v>102</v>
      </c>
      <c r="Y82" s="380"/>
      <c r="Z82" t="s">
        <v>184</v>
      </c>
      <c r="AA82">
        <f t="shared" si="3"/>
        <v>1.2</v>
      </c>
      <c r="AB82">
        <f t="shared" si="4"/>
        <v>1.1000000000000001</v>
      </c>
      <c r="AC82" t="str">
        <f t="shared" si="5"/>
        <v>Š36-Š37</v>
      </c>
      <c r="AD82" s="395"/>
      <c r="AE82" s="396"/>
      <c r="AF82" s="397"/>
      <c r="AG82" s="398">
        <f>L82*0.055*0.055*3.14</f>
        <v>0</v>
      </c>
      <c r="AH82" s="399">
        <f>Q82*0.08*0.08*3.14</f>
        <v>0</v>
      </c>
      <c r="AI82" s="398">
        <f>W82*0.35*0.35</f>
        <v>0.36749999999999994</v>
      </c>
      <c r="AJ82" s="397"/>
      <c r="AK82" s="400">
        <f>AA82*AB82</f>
        <v>1.32</v>
      </c>
      <c r="AL82" s="34">
        <f t="shared" si="6"/>
        <v>0.36749999999999994</v>
      </c>
      <c r="AM82" s="34">
        <f>(AK82-AL82)*C82</f>
        <v>31.413450000000001</v>
      </c>
      <c r="AN82" s="235" t="s">
        <v>183</v>
      </c>
      <c r="AO82" s="34">
        <f>IF(AN82="ano",(2*AA82+0.3+2*AB82)*C82*1.2,0)</f>
        <v>0</v>
      </c>
      <c r="AP82" s="34" t="s">
        <v>249</v>
      </c>
      <c r="AQ82" s="34" t="str">
        <f>D82</f>
        <v>nástupiště</v>
      </c>
      <c r="AR82" s="34">
        <f>IF(AP82="ano",((AA82+0.2)*(AB82+0.1)-AA82*AB82)*C82,0)</f>
        <v>0</v>
      </c>
      <c r="AS82" s="34">
        <f>IF(AR82&gt;0.001,(AA82+2*AB82)*C82*1.25,0)</f>
        <v>0</v>
      </c>
      <c r="AT82" t="s">
        <v>184</v>
      </c>
      <c r="AU82" s="13">
        <f>IF(AT82="ano",AK82+$AU$20,0)</f>
        <v>2.12</v>
      </c>
      <c r="AV82" s="34">
        <f>'[1]Mezišachetní úsek'!Y84</f>
        <v>3.78</v>
      </c>
      <c r="AW82" s="34">
        <f>IF(AT82="ano",AU82*C82*0.1,"není")</f>
        <v>6.9917599999999993</v>
      </c>
      <c r="AX82" s="34">
        <f>'[1]Mezišachetní úsek'!AA84</f>
        <v>41.58</v>
      </c>
      <c r="AY82" s="34"/>
      <c r="AZ82" s="34">
        <f t="shared" si="7"/>
        <v>0</v>
      </c>
      <c r="BA82" s="154" t="str">
        <f>B82</f>
        <v>Š36-Š37</v>
      </c>
      <c r="BD82" s="154" t="str">
        <f t="shared" si="8"/>
        <v>Š36-Š37</v>
      </c>
      <c r="BE82" s="13" t="str">
        <f t="shared" si="9"/>
        <v>nebude</v>
      </c>
      <c r="BF82" s="13">
        <f>IF(BE82="ano",(2*AA82+0.3+2*AB82)*C82*1.2,0)</f>
        <v>0</v>
      </c>
      <c r="BG82" s="13"/>
      <c r="BH82" s="13" t="str">
        <f t="shared" si="10"/>
        <v>nebude</v>
      </c>
      <c r="BI82" s="13">
        <f t="shared" si="11"/>
        <v>0</v>
      </c>
      <c r="BK82" s="13">
        <f>IF(BJ82="ano",AU82*C82,0)</f>
        <v>0</v>
      </c>
      <c r="BL82" t="s">
        <v>184</v>
      </c>
      <c r="BM82">
        <f>IF(BL82="ano",(AA82+AB82*2)*C82,0)</f>
        <v>112.13200000000001</v>
      </c>
    </row>
    <row r="83" spans="2:65" ht="15.75" x14ac:dyDescent="0.25">
      <c r="B83" s="84" t="s">
        <v>273</v>
      </c>
      <c r="C83" s="192">
        <v>7.31</v>
      </c>
      <c r="D83" s="237" t="s">
        <v>189</v>
      </c>
      <c r="F83" s="415">
        <f t="shared" si="1"/>
        <v>1</v>
      </c>
      <c r="G83" s="416">
        <f t="shared" si="2"/>
        <v>0.5</v>
      </c>
      <c r="H83" s="416"/>
      <c r="I83" s="416"/>
      <c r="J83" s="416"/>
      <c r="K83" s="416">
        <f t="shared" si="12"/>
        <v>0</v>
      </c>
      <c r="L83" s="72">
        <f>'Mezišachetní úsek'!H85</f>
        <v>0</v>
      </c>
      <c r="M83" s="72">
        <f>'Mezišachetní úsek'!I85</f>
        <v>0</v>
      </c>
      <c r="N83" s="72"/>
      <c r="O83" s="72"/>
      <c r="P83" s="416">
        <f t="shared" si="13"/>
        <v>0</v>
      </c>
      <c r="Q83" s="72">
        <f>'Mezišachetní úsek'!J85</f>
        <v>0</v>
      </c>
      <c r="R83" s="72">
        <f>'Mezišachetní úsek'!K85</f>
        <v>0</v>
      </c>
      <c r="S83" s="72">
        <f>'Mezišachetní úsek'!L85</f>
        <v>0</v>
      </c>
      <c r="T83" s="72">
        <f>'Mezišachetní úsek'!M85</f>
        <v>0</v>
      </c>
      <c r="U83" s="72">
        <f>'Mezišachetní úsek'!N85</f>
        <v>2</v>
      </c>
      <c r="V83" s="72">
        <f>'Mezišachetní úsek'!O85</f>
        <v>1</v>
      </c>
      <c r="W83" s="72">
        <f>'Mezišachetní úsek'!P85</f>
        <v>2</v>
      </c>
      <c r="X83" s="72">
        <f>'Mezišachetní úsek'!Q85</f>
        <v>16</v>
      </c>
      <c r="Y83" s="380"/>
      <c r="Z83" t="s">
        <v>184</v>
      </c>
      <c r="AA83">
        <f t="shared" si="3"/>
        <v>1.2</v>
      </c>
      <c r="AB83">
        <f t="shared" si="4"/>
        <v>0.6</v>
      </c>
      <c r="AC83" t="str">
        <f t="shared" si="5"/>
        <v>Š36-konec</v>
      </c>
      <c r="AD83" s="395"/>
      <c r="AE83" s="396"/>
      <c r="AF83" s="397"/>
      <c r="AG83" s="398">
        <f>L83*0.055*0.055*3.14</f>
        <v>0</v>
      </c>
      <c r="AH83" s="399">
        <f>Q83*0.08*0.08*3.14</f>
        <v>0</v>
      </c>
      <c r="AI83" s="398">
        <f>W83*0.35*0.35</f>
        <v>0.24499999999999997</v>
      </c>
      <c r="AJ83" s="397"/>
      <c r="AK83" s="400">
        <f>AA83*AB83</f>
        <v>0.72</v>
      </c>
      <c r="AL83" s="34">
        <f t="shared" si="6"/>
        <v>0.24499999999999997</v>
      </c>
      <c r="AM83" s="34">
        <f>(AK83-AL83)*C83</f>
        <v>3.4722499999999998</v>
      </c>
      <c r="AN83" s="235" t="s">
        <v>183</v>
      </c>
      <c r="AO83" s="34">
        <f>IF(AN83="ano",(2*AA83+0.3+2*AB83)*C83*1.2,0)</f>
        <v>0</v>
      </c>
      <c r="AP83" s="34" t="s">
        <v>249</v>
      </c>
      <c r="AQ83" s="34" t="str">
        <f>D83</f>
        <v>nástupiště</v>
      </c>
      <c r="AR83" s="34">
        <f>IF(AP83="ano",((AA83+0.2)*(AB83+0.1)-AA83*AB83)*C83,0)</f>
        <v>0</v>
      </c>
      <c r="AS83" s="34">
        <f>IF(AR83&gt;0.001,(AA83+2*AB83)*C83*1.25,0)</f>
        <v>0</v>
      </c>
      <c r="AT83" t="s">
        <v>184</v>
      </c>
      <c r="AU83" s="13">
        <f>IF(AT83="ano",AK83+$AU$20,0)</f>
        <v>1.52</v>
      </c>
      <c r="AV83" s="34">
        <f>'[1]Mezišachetní úsek'!Y85</f>
        <v>0</v>
      </c>
      <c r="AW83" s="34">
        <f>IF(AT83="ano",AU83*C83*0.1,"není")</f>
        <v>1.1111200000000001</v>
      </c>
      <c r="AX83" s="34">
        <f>'[1]Mezišachetní úsek'!AA85</f>
        <v>0</v>
      </c>
      <c r="AY83" s="34"/>
      <c r="AZ83" s="34">
        <f t="shared" si="7"/>
        <v>0</v>
      </c>
      <c r="BA83" s="154" t="str">
        <f>B83</f>
        <v>Š36-konec</v>
      </c>
      <c r="BD83" s="154" t="str">
        <f t="shared" si="8"/>
        <v>Š36-konec</v>
      </c>
      <c r="BE83" s="13" t="str">
        <f t="shared" si="9"/>
        <v>nebude</v>
      </c>
      <c r="BF83" s="13">
        <f>IF(BE83="ano",(2*AA83+0.3+2*AB83)*C83*1.2,0)</f>
        <v>0</v>
      </c>
      <c r="BG83" s="13"/>
      <c r="BH83" s="13" t="str">
        <f t="shared" si="10"/>
        <v>nebude</v>
      </c>
      <c r="BI83" s="13">
        <f t="shared" si="11"/>
        <v>0</v>
      </c>
      <c r="BK83" s="13">
        <f>IF(BJ83="ano",AU83*C83,0)</f>
        <v>0</v>
      </c>
      <c r="BL83" t="s">
        <v>184</v>
      </c>
      <c r="BM83">
        <f>IF(BL83="ano",(AA83+AB83*2)*C83,0)</f>
        <v>17.543999999999997</v>
      </c>
    </row>
    <row r="84" spans="2:65" ht="15.75" x14ac:dyDescent="0.25">
      <c r="B84" s="84" t="s">
        <v>242</v>
      </c>
      <c r="C84" s="192">
        <v>27.93</v>
      </c>
      <c r="D84" s="237" t="s">
        <v>189</v>
      </c>
      <c r="F84" s="415">
        <f t="shared" si="1"/>
        <v>1</v>
      </c>
      <c r="G84" s="416">
        <f t="shared" si="2"/>
        <v>1</v>
      </c>
      <c r="H84" s="416"/>
      <c r="I84" s="416"/>
      <c r="J84" s="416"/>
      <c r="K84" s="416">
        <f t="shared" si="12"/>
        <v>0</v>
      </c>
      <c r="L84" s="72">
        <f>'Mezišachetní úsek'!H86</f>
        <v>0</v>
      </c>
      <c r="M84" s="72">
        <f>'Mezišachetní úsek'!I86</f>
        <v>0</v>
      </c>
      <c r="N84" s="72"/>
      <c r="O84" s="72"/>
      <c r="P84" s="416">
        <f t="shared" si="13"/>
        <v>0</v>
      </c>
      <c r="Q84" s="72">
        <f>'Mezišachetní úsek'!J86</f>
        <v>0</v>
      </c>
      <c r="R84" s="72">
        <f>'Mezišachetní úsek'!K86</f>
        <v>0</v>
      </c>
      <c r="S84" s="72">
        <f>'Mezišachetní úsek'!L86</f>
        <v>0</v>
      </c>
      <c r="T84" s="72">
        <f>'Mezišachetní úsek'!M86</f>
        <v>0</v>
      </c>
      <c r="U84" s="72">
        <f>'Mezišachetní úsek'!N86</f>
        <v>2</v>
      </c>
      <c r="V84" s="72">
        <f>'Mezišachetní úsek'!O86</f>
        <v>2</v>
      </c>
      <c r="W84" s="72">
        <f>'Mezišachetní úsek'!P86</f>
        <v>3</v>
      </c>
      <c r="X84" s="72">
        <f>'Mezišachetní úsek'!Q86</f>
        <v>87</v>
      </c>
      <c r="Y84" s="380"/>
      <c r="Z84" t="s">
        <v>184</v>
      </c>
      <c r="AA84">
        <f t="shared" si="3"/>
        <v>1.2</v>
      </c>
      <c r="AB84">
        <f t="shared" si="4"/>
        <v>1.1000000000000001</v>
      </c>
      <c r="AC84" t="str">
        <f t="shared" si="5"/>
        <v>Š37-Š38</v>
      </c>
      <c r="AD84" s="395"/>
      <c r="AE84" s="396"/>
      <c r="AF84" s="397"/>
      <c r="AG84" s="398">
        <f>L84*0.055*0.055*3.14</f>
        <v>0</v>
      </c>
      <c r="AH84" s="399">
        <f>Q84*0.08*0.08*3.14</f>
        <v>0</v>
      </c>
      <c r="AI84" s="398">
        <f>W84*0.35*0.35</f>
        <v>0.36749999999999994</v>
      </c>
      <c r="AJ84" s="397"/>
      <c r="AK84" s="400">
        <f>AA84*AB84</f>
        <v>1.32</v>
      </c>
      <c r="AL84" s="34">
        <f t="shared" si="6"/>
        <v>0.36749999999999994</v>
      </c>
      <c r="AM84" s="34">
        <f>(AK84-AL84)*C84</f>
        <v>26.603325000000002</v>
      </c>
      <c r="AN84" s="235" t="s">
        <v>183</v>
      </c>
      <c r="AO84" s="34">
        <f>IF(AN84="ano",(2*AA84+0.3+2*AB84)*C84*1.2,0)</f>
        <v>0</v>
      </c>
      <c r="AP84" s="34" t="s">
        <v>249</v>
      </c>
      <c r="AQ84" s="34" t="str">
        <f>D84</f>
        <v>nástupiště</v>
      </c>
      <c r="AR84" s="34">
        <f>IF(AP84="ano",((AA84+0.2)*(AB84+0.1)-AA84*AB84)*C84,0)</f>
        <v>0</v>
      </c>
      <c r="AS84" s="34">
        <f>IF(AR84&gt;0.001,(AA84+2*AB84)*C84*1.25,0)</f>
        <v>0</v>
      </c>
      <c r="AT84" t="s">
        <v>184</v>
      </c>
      <c r="AU84" s="13">
        <f>IF(AT84="ano",AK84+$AU$20,0)</f>
        <v>2.12</v>
      </c>
      <c r="AV84" s="34">
        <f>'[1]Mezišachetní úsek'!Y86</f>
        <v>0</v>
      </c>
      <c r="AW84" s="34">
        <f>IF(AT84="ano",AU84*C84*0.1,"není")</f>
        <v>5.9211600000000004</v>
      </c>
      <c r="AX84" s="34">
        <f>'[1]Mezišachetní úsek'!AA86</f>
        <v>0</v>
      </c>
      <c r="AY84" s="34"/>
      <c r="AZ84" s="34">
        <f t="shared" si="7"/>
        <v>0</v>
      </c>
      <c r="BA84" s="154" t="str">
        <f>B84</f>
        <v>Š37-Š38</v>
      </c>
      <c r="BD84" s="154" t="str">
        <f t="shared" si="8"/>
        <v>Š37-Š38</v>
      </c>
      <c r="BE84" s="13" t="str">
        <f t="shared" si="9"/>
        <v>nebude</v>
      </c>
      <c r="BF84" s="13">
        <f>IF(BE84="ano",(2*AA84+0.3+2*AB84)*C84*1.2,0)</f>
        <v>0</v>
      </c>
      <c r="BG84" s="13"/>
      <c r="BH84" s="13" t="str">
        <f t="shared" si="10"/>
        <v>nebude</v>
      </c>
      <c r="BI84" s="13">
        <f t="shared" si="11"/>
        <v>0</v>
      </c>
      <c r="BK84" s="13">
        <f>IF(BJ84="ano",AU84*C84,0)</f>
        <v>0</v>
      </c>
      <c r="BL84" t="s">
        <v>184</v>
      </c>
      <c r="BM84">
        <f>IF(BL84="ano",(AA84+AB84*2)*C84,0)</f>
        <v>94.962000000000003</v>
      </c>
    </row>
    <row r="85" spans="2:65" ht="15.75" x14ac:dyDescent="0.25">
      <c r="B85" s="84" t="s">
        <v>306</v>
      </c>
      <c r="C85" s="192">
        <v>18.43</v>
      </c>
      <c r="D85" s="237" t="s">
        <v>189</v>
      </c>
      <c r="F85" s="415">
        <f t="shared" si="1"/>
        <v>0.35</v>
      </c>
      <c r="G85" s="416">
        <f t="shared" si="2"/>
        <v>0.7</v>
      </c>
      <c r="H85" s="416"/>
      <c r="I85" s="416">
        <v>2</v>
      </c>
      <c r="J85" s="416">
        <v>4</v>
      </c>
      <c r="K85" s="416">
        <f t="shared" si="12"/>
        <v>0</v>
      </c>
      <c r="L85" s="72">
        <f>'Mezišachetní úsek'!H87</f>
        <v>8</v>
      </c>
      <c r="M85" s="72">
        <f>'Mezišachetní úsek'!I87</f>
        <v>160</v>
      </c>
      <c r="N85" s="72"/>
      <c r="O85" s="72"/>
      <c r="P85" s="416">
        <f t="shared" si="13"/>
        <v>0</v>
      </c>
      <c r="Q85" s="72">
        <f>'Mezišachetní úsek'!J87</f>
        <v>0</v>
      </c>
      <c r="R85" s="72">
        <f>'Mezišachetní úsek'!K87</f>
        <v>0</v>
      </c>
      <c r="S85" s="72">
        <f>'Mezišachetní úsek'!L87</f>
        <v>0</v>
      </c>
      <c r="T85" s="72">
        <f>'Mezišachetní úsek'!M87</f>
        <v>0</v>
      </c>
      <c r="U85" s="72">
        <f>'Mezišachetní úsek'!N87</f>
        <v>0</v>
      </c>
      <c r="V85" s="72">
        <f>'Mezišachetní úsek'!O87</f>
        <v>0</v>
      </c>
      <c r="W85" s="72">
        <f>'Mezišachetní úsek'!P87</f>
        <v>0</v>
      </c>
      <c r="X85" s="72">
        <f>'Mezišachetní úsek'!Q87</f>
        <v>0</v>
      </c>
      <c r="Y85" s="380"/>
      <c r="Z85" t="s">
        <v>184</v>
      </c>
      <c r="AA85">
        <f t="shared" si="3"/>
        <v>0.55000000000000004</v>
      </c>
      <c r="AB85">
        <f t="shared" si="4"/>
        <v>0.79999999999999993</v>
      </c>
      <c r="AC85" t="str">
        <f t="shared" si="5"/>
        <v>Š38-konec</v>
      </c>
      <c r="AD85" s="395"/>
      <c r="AE85" s="396"/>
      <c r="AF85" s="397"/>
      <c r="AG85" s="398">
        <f>L85*0.055*0.055*3.14</f>
        <v>7.5988E-2</v>
      </c>
      <c r="AH85" s="399">
        <f>Q85*0.08*0.08*3.14</f>
        <v>0</v>
      </c>
      <c r="AI85" s="398">
        <f>W85*0.35*0.35</f>
        <v>0</v>
      </c>
      <c r="AJ85" s="397"/>
      <c r="AK85" s="400">
        <f>AA85*AB85</f>
        <v>0.44</v>
      </c>
      <c r="AL85" s="34">
        <f t="shared" si="6"/>
        <v>7.5988E-2</v>
      </c>
      <c r="AM85" s="34">
        <f>(AK85-AL85)*C85</f>
        <v>6.7087411599999998</v>
      </c>
      <c r="AN85" s="235" t="s">
        <v>183</v>
      </c>
      <c r="AO85" s="34">
        <f>IF(AN85="ano",(2*AA85+0.3+2*AB85)*C85*1.2,0)</f>
        <v>0</v>
      </c>
      <c r="AP85" s="34" t="s">
        <v>249</v>
      </c>
      <c r="AQ85" s="34" t="str">
        <f>D85</f>
        <v>nástupiště</v>
      </c>
      <c r="AR85" s="34">
        <f>IF(AP85="ano",((AA85+0.2)*(AB85+0.1)-AA85*AB85)*C85,0)</f>
        <v>0</v>
      </c>
      <c r="AS85" s="34">
        <f>IF(AR85&gt;0.001,(AA85+2*AB85)*C85*1.25,0)</f>
        <v>0</v>
      </c>
      <c r="AT85" t="s">
        <v>184</v>
      </c>
      <c r="AU85" s="13">
        <f>IF(AT85="ano",AK85+$AU$20,0)</f>
        <v>1.24</v>
      </c>
      <c r="AV85" s="34">
        <f>'[1]Mezišachetní úsek'!Y87</f>
        <v>0</v>
      </c>
      <c r="AW85" s="34">
        <f>IF(AT85="ano",AU85*C85*0.1,"není")</f>
        <v>2.28532</v>
      </c>
      <c r="AX85" s="34">
        <f>'[1]Mezišachetní úsek'!AA87</f>
        <v>0</v>
      </c>
      <c r="AY85" s="34"/>
      <c r="AZ85" s="34">
        <f t="shared" si="7"/>
        <v>0</v>
      </c>
      <c r="BA85" s="154" t="str">
        <f>B85</f>
        <v>Š38-konec</v>
      </c>
      <c r="BD85" s="154" t="str">
        <f t="shared" si="8"/>
        <v>Š38-konec</v>
      </c>
      <c r="BE85" s="13" t="str">
        <f t="shared" si="9"/>
        <v>nebude</v>
      </c>
      <c r="BF85" s="13">
        <f>IF(BE85="ano",(2*AA85+0.3+2*AB85)*C85*1.2,0)</f>
        <v>0</v>
      </c>
      <c r="BG85" s="13"/>
      <c r="BH85" s="13" t="str">
        <f t="shared" si="10"/>
        <v>nebude</v>
      </c>
      <c r="BI85" s="13">
        <f t="shared" si="11"/>
        <v>0</v>
      </c>
      <c r="BK85" s="13">
        <f>IF(BJ85="ano",AU85*C85,0)</f>
        <v>0</v>
      </c>
      <c r="BL85" t="s">
        <v>184</v>
      </c>
      <c r="BM85">
        <f>IF(BL85="ano",(AA85+AB85*2)*C85,0)</f>
        <v>39.624499999999998</v>
      </c>
    </row>
    <row r="86" spans="2:65" ht="15.75" x14ac:dyDescent="0.25">
      <c r="B86" s="84" t="s">
        <v>243</v>
      </c>
      <c r="C86" s="192">
        <v>24.073</v>
      </c>
      <c r="D86" s="237" t="s">
        <v>189</v>
      </c>
      <c r="F86" s="415">
        <f t="shared" si="1"/>
        <v>0.5</v>
      </c>
      <c r="G86" s="416">
        <f t="shared" si="2"/>
        <v>1</v>
      </c>
      <c r="H86" s="416"/>
      <c r="I86" s="416"/>
      <c r="J86" s="416"/>
      <c r="K86" s="416">
        <f t="shared" si="12"/>
        <v>0</v>
      </c>
      <c r="L86" s="72">
        <f>'Mezišachetní úsek'!H88</f>
        <v>0</v>
      </c>
      <c r="M86" s="72">
        <f>'Mezišachetní úsek'!I88</f>
        <v>0</v>
      </c>
      <c r="N86" s="72"/>
      <c r="O86" s="72"/>
      <c r="P86" s="416">
        <f t="shared" si="13"/>
        <v>0</v>
      </c>
      <c r="Q86" s="72">
        <f>'Mezišachetní úsek'!J88</f>
        <v>0</v>
      </c>
      <c r="R86" s="72">
        <f>'Mezišachetní úsek'!K88</f>
        <v>0</v>
      </c>
      <c r="S86" s="72">
        <f>'Mezišachetní úsek'!L88</f>
        <v>0</v>
      </c>
      <c r="T86" s="72">
        <f>'Mezišachetní úsek'!M88</f>
        <v>0</v>
      </c>
      <c r="U86" s="72">
        <f>'Mezišachetní úsek'!N88</f>
        <v>1</v>
      </c>
      <c r="V86" s="72">
        <f>'Mezišachetní úsek'!O88</f>
        <v>2</v>
      </c>
      <c r="W86" s="72">
        <f>'Mezišachetní úsek'!P88</f>
        <v>2</v>
      </c>
      <c r="X86" s="72">
        <f>'Mezišachetní úsek'!Q88</f>
        <v>50</v>
      </c>
      <c r="Y86" s="380"/>
      <c r="Z86" t="s">
        <v>184</v>
      </c>
      <c r="AA86">
        <f t="shared" si="3"/>
        <v>0.7</v>
      </c>
      <c r="AB86">
        <f t="shared" si="4"/>
        <v>1.1000000000000001</v>
      </c>
      <c r="AC86" t="str">
        <f t="shared" si="5"/>
        <v>Š38-Š39</v>
      </c>
      <c r="AD86" s="395"/>
      <c r="AE86" s="396"/>
      <c r="AF86" s="397"/>
      <c r="AG86" s="398">
        <f>L86*0.055*0.055*3.14</f>
        <v>0</v>
      </c>
      <c r="AH86" s="399">
        <f>Q86*0.08*0.08*3.14</f>
        <v>0</v>
      </c>
      <c r="AI86" s="398">
        <f>W86*0.35*0.35</f>
        <v>0.24499999999999997</v>
      </c>
      <c r="AJ86" s="397"/>
      <c r="AK86" s="400">
        <f>AA86*AB86</f>
        <v>0.77</v>
      </c>
      <c r="AL86" s="34">
        <f t="shared" si="6"/>
        <v>0.24499999999999997</v>
      </c>
      <c r="AM86" s="34">
        <f>(AK86-AL86)*C86</f>
        <v>12.638325</v>
      </c>
      <c r="AN86" s="235" t="s">
        <v>183</v>
      </c>
      <c r="AO86" s="34">
        <f>IF(AN86="ano",(2*AA86+0.3+2*AB86)*C86*1.2,0)</f>
        <v>0</v>
      </c>
      <c r="AP86" s="34" t="s">
        <v>249</v>
      </c>
      <c r="AQ86" s="34" t="str">
        <f>D86</f>
        <v>nástupiště</v>
      </c>
      <c r="AR86" s="34">
        <f>IF(AP86="ano",((AA86+0.2)*(AB86+0.1)-AA86*AB86)*C86,0)</f>
        <v>0</v>
      </c>
      <c r="AS86" s="34">
        <f>IF(AR86&gt;0.001,(AA86+2*AB86)*C86*1.25,0)</f>
        <v>0</v>
      </c>
      <c r="AT86" t="s">
        <v>184</v>
      </c>
      <c r="AU86" s="13">
        <f>IF(AT86="ano",AK86+$AU$20,0)</f>
        <v>1.57</v>
      </c>
      <c r="AV86" s="34">
        <f>'[1]Mezišachetní úsek'!Y88</f>
        <v>3.3600000000000003</v>
      </c>
      <c r="AW86" s="34">
        <f>IF(AT86="ano",AU86*C86*0.1,"není")</f>
        <v>3.779461</v>
      </c>
      <c r="AX86" s="34">
        <f>'[1]Mezišachetní úsek'!AA88</f>
        <v>36.960000000000008</v>
      </c>
      <c r="AY86" s="34"/>
      <c r="AZ86" s="34">
        <f t="shared" si="7"/>
        <v>0</v>
      </c>
      <c r="BA86" s="154" t="str">
        <f>B86</f>
        <v>Š38-Š39</v>
      </c>
      <c r="BD86" s="154" t="str">
        <f t="shared" si="8"/>
        <v>Š38-Š39</v>
      </c>
      <c r="BE86" s="13" t="str">
        <f t="shared" si="9"/>
        <v>nebude</v>
      </c>
      <c r="BF86" s="13">
        <f>IF(BE86="ano",(2*AA86+0.3+2*AB86)*C86*1.2,0)</f>
        <v>0</v>
      </c>
      <c r="BG86" s="13"/>
      <c r="BH86" s="13" t="str">
        <f t="shared" si="10"/>
        <v>nebude</v>
      </c>
      <c r="BI86" s="13">
        <f t="shared" si="11"/>
        <v>0</v>
      </c>
      <c r="BK86" s="13">
        <f>IF(BJ86="ano",AU86*C86,0)</f>
        <v>0</v>
      </c>
      <c r="BL86" t="s">
        <v>184</v>
      </c>
      <c r="BM86">
        <f>IF(BL86="ano",(AA86+AB86*2)*C86,0)</f>
        <v>69.811700000000016</v>
      </c>
    </row>
    <row r="87" spans="2:65" ht="15.75" x14ac:dyDescent="0.25">
      <c r="B87" s="84" t="s">
        <v>269</v>
      </c>
      <c r="C87" s="192">
        <v>1.1000000000000001</v>
      </c>
      <c r="D87" s="237" t="s">
        <v>189</v>
      </c>
      <c r="F87" s="415">
        <f t="shared" ref="F87:F98" si="14">I87*0.175+N87*0.23+U87*0.5</f>
        <v>1.0249999999999999</v>
      </c>
      <c r="G87" s="416">
        <f t="shared" ref="G87:G98" si="15">J87*0.175+O87*0.23+V87*0.5</f>
        <v>1.0249999999999999</v>
      </c>
      <c r="H87" s="416"/>
      <c r="I87" s="416">
        <v>3</v>
      </c>
      <c r="J87" s="416">
        <v>3</v>
      </c>
      <c r="K87" s="416">
        <f t="shared" si="12"/>
        <v>0</v>
      </c>
      <c r="L87" s="72">
        <f>'Mezišachetní úsek'!H89</f>
        <v>9</v>
      </c>
      <c r="M87" s="72">
        <f>'Mezišachetní úsek'!I89</f>
        <v>18</v>
      </c>
      <c r="N87" s="72"/>
      <c r="O87" s="72"/>
      <c r="P87" s="416">
        <f t="shared" si="13"/>
        <v>0</v>
      </c>
      <c r="Q87" s="72">
        <f>'Mezišachetní úsek'!J89</f>
        <v>0</v>
      </c>
      <c r="R87" s="72">
        <f>'Mezišachetní úsek'!K89</f>
        <v>0</v>
      </c>
      <c r="S87" s="72">
        <f>'Mezišachetní úsek'!L89</f>
        <v>0</v>
      </c>
      <c r="T87" s="72">
        <f>'Mezišachetní úsek'!M89</f>
        <v>0</v>
      </c>
      <c r="U87" s="72">
        <f>'Mezišachetní úsek'!N89</f>
        <v>1</v>
      </c>
      <c r="V87" s="72">
        <f>'Mezišachetní úsek'!O89</f>
        <v>1</v>
      </c>
      <c r="W87" s="72">
        <f>'Mezišachetní úsek'!P89</f>
        <v>1</v>
      </c>
      <c r="X87" s="72">
        <f>'Mezišachetní úsek'!Q89</f>
        <v>2</v>
      </c>
      <c r="Y87" s="380"/>
      <c r="Z87" t="s">
        <v>184</v>
      </c>
      <c r="AA87">
        <f t="shared" si="3"/>
        <v>1.2249999999999999</v>
      </c>
      <c r="AB87">
        <f t="shared" si="4"/>
        <v>1.125</v>
      </c>
      <c r="AC87" t="str">
        <f t="shared" ref="AC87:AC98" si="16">B87</f>
        <v>Š39-konec</v>
      </c>
      <c r="AD87" s="395"/>
      <c r="AE87" s="396"/>
      <c r="AF87" s="397"/>
      <c r="AG87" s="398">
        <f>L87*0.055*0.055*3.14</f>
        <v>8.5486500000000007E-2</v>
      </c>
      <c r="AH87" s="399">
        <f>Q87*0.08*0.08*3.14</f>
        <v>0</v>
      </c>
      <c r="AI87" s="398">
        <f>W87*0.35*0.35</f>
        <v>0.12249999999999998</v>
      </c>
      <c r="AJ87" s="397"/>
      <c r="AK87" s="400">
        <f>AA87*AB87</f>
        <v>1.3781249999999998</v>
      </c>
      <c r="AL87" s="34">
        <f t="shared" ref="AL87:AL98" si="17">AG87+AH87+AI87</f>
        <v>0.20798649999999999</v>
      </c>
      <c r="AM87" s="34">
        <f>(AK87-AL87)*C87</f>
        <v>1.2871523499999997</v>
      </c>
      <c r="AN87" s="235" t="s">
        <v>183</v>
      </c>
      <c r="AO87" s="34">
        <f>IF(AN87="ano",(2*AA87+0.3+2*AB87)*C87*1.2,0)</f>
        <v>0</v>
      </c>
      <c r="AP87" s="34" t="s">
        <v>249</v>
      </c>
      <c r="AQ87" s="34" t="str">
        <f>D87</f>
        <v>nástupiště</v>
      </c>
      <c r="AR87" s="34">
        <f>IF(AP87="ano",((AA87+0.2)*(AB87+0.1)-AA87*AB87)*C87,0)</f>
        <v>0</v>
      </c>
      <c r="AS87" s="34">
        <f>IF(AR87&gt;0.001,(AA87+2*AB87)*C87*1.25,0)</f>
        <v>0</v>
      </c>
      <c r="AT87" t="s">
        <v>184</v>
      </c>
      <c r="AU87" s="13">
        <f>IF(AT87="ano",AK87+$AU$20,0)</f>
        <v>2.1781249999999996</v>
      </c>
      <c r="AV87" s="34">
        <f>'[1]Mezišachetní úsek'!Y89</f>
        <v>0.67</v>
      </c>
      <c r="AW87" s="34">
        <f>IF(AT87="ano",AU87*C87*0.1,"není")</f>
        <v>0.23959374999999997</v>
      </c>
      <c r="AX87" s="34">
        <f>'[1]Mezišachetní úsek'!AA89</f>
        <v>7.370000000000001</v>
      </c>
      <c r="AY87" s="34"/>
      <c r="AZ87" s="34">
        <f t="shared" ref="AZ87:AZ98" si="18">IF(AY87="ano",AU87-0.1,0)</f>
        <v>0</v>
      </c>
      <c r="BA87" s="154" t="str">
        <f>B87</f>
        <v>Š39-konec</v>
      </c>
      <c r="BD87" s="154" t="str">
        <f t="shared" ref="BD87:BD98" si="19">BA87</f>
        <v>Š39-konec</v>
      </c>
      <c r="BE87" s="13" t="str">
        <f t="shared" ref="BE87:BE98" si="20">AN87</f>
        <v>nebude</v>
      </c>
      <c r="BF87" s="13">
        <f>IF(BE87="ano",(2*AA87+0.3+2*AB87)*C87*1.2,0)</f>
        <v>0</v>
      </c>
      <c r="BG87" s="13"/>
      <c r="BH87" s="13" t="str">
        <f t="shared" ref="BH87:BH98" si="21">BE87</f>
        <v>nebude</v>
      </c>
      <c r="BI87" s="13">
        <f t="shared" ref="BI87:BI98" si="22">IF(BH87="ano",BF87*2,0)</f>
        <v>0</v>
      </c>
      <c r="BK87" s="13">
        <f>IF(BJ87="ano",AU87*C87,0)</f>
        <v>0</v>
      </c>
      <c r="BL87" t="s">
        <v>184</v>
      </c>
      <c r="BM87">
        <f>IF(BL87="ano",(AA87+AB87*2)*C87,0)</f>
        <v>3.8224999999999998</v>
      </c>
    </row>
    <row r="88" spans="2:65" ht="15.75" x14ac:dyDescent="0.25">
      <c r="B88" s="84" t="s">
        <v>307</v>
      </c>
      <c r="C88" s="192">
        <v>1</v>
      </c>
      <c r="D88" s="237" t="s">
        <v>189</v>
      </c>
      <c r="F88" s="415">
        <f t="shared" si="14"/>
        <v>0.85</v>
      </c>
      <c r="G88" s="416">
        <f t="shared" si="15"/>
        <v>1.5249999999999999</v>
      </c>
      <c r="H88" s="416"/>
      <c r="I88" s="416">
        <v>2</v>
      </c>
      <c r="J88" s="416">
        <v>3</v>
      </c>
      <c r="K88" s="416">
        <f t="shared" ref="K88:K98" si="23">I88*J88-L88</f>
        <v>0</v>
      </c>
      <c r="L88" s="72">
        <f>'Mezišachetní úsek'!H90</f>
        <v>6</v>
      </c>
      <c r="M88" s="72">
        <f>'Mezišachetní úsek'!I90</f>
        <v>12</v>
      </c>
      <c r="N88" s="72"/>
      <c r="O88" s="72"/>
      <c r="P88" s="416">
        <f t="shared" ref="P88:P98" si="24">N88*O88-Q88</f>
        <v>0</v>
      </c>
      <c r="Q88" s="72">
        <f>'Mezišachetní úsek'!J90</f>
        <v>0</v>
      </c>
      <c r="R88" s="72">
        <f>'Mezišachetní úsek'!K90</f>
        <v>0</v>
      </c>
      <c r="S88" s="72">
        <f>'Mezišachetní úsek'!L90</f>
        <v>0</v>
      </c>
      <c r="T88" s="72">
        <f>'Mezišachetní úsek'!M90</f>
        <v>0</v>
      </c>
      <c r="U88" s="72">
        <f>'Mezišachetní úsek'!N90</f>
        <v>1</v>
      </c>
      <c r="V88" s="72">
        <f>'Mezišachetní úsek'!O90</f>
        <v>2</v>
      </c>
      <c r="W88" s="72">
        <f>'Mezišachetní úsek'!P90</f>
        <v>2</v>
      </c>
      <c r="X88" s="72">
        <f>'Mezišachetní úsek'!Q90</f>
        <v>4</v>
      </c>
      <c r="Y88" s="380"/>
      <c r="Z88" t="s">
        <v>184</v>
      </c>
      <c r="AA88">
        <f t="shared" ref="AA88:AA98" si="25">IF(Z88="ano",F88+0.2,0)</f>
        <v>1.05</v>
      </c>
      <c r="AB88">
        <f t="shared" ref="AB88:AB98" si="26">IF(Z88="ano",G88+0.1,0)</f>
        <v>1.625</v>
      </c>
      <c r="AC88" t="str">
        <f t="shared" si="16"/>
        <v>Š39-Š40</v>
      </c>
      <c r="AD88" s="395"/>
      <c r="AE88" s="396"/>
      <c r="AF88" s="397"/>
      <c r="AG88" s="398">
        <f>L88*0.055*0.055*3.14</f>
        <v>5.6991E-2</v>
      </c>
      <c r="AH88" s="399">
        <f>Q88*0.08*0.08*3.14</f>
        <v>0</v>
      </c>
      <c r="AI88" s="398">
        <f>W88*0.35*0.35</f>
        <v>0.24499999999999997</v>
      </c>
      <c r="AJ88" s="397"/>
      <c r="AK88" s="400">
        <f>AA88*AB88</f>
        <v>1.70625</v>
      </c>
      <c r="AL88" s="34">
        <f t="shared" si="17"/>
        <v>0.30199099999999995</v>
      </c>
      <c r="AM88" s="34">
        <f>(AK88-AL88)*C88</f>
        <v>1.4042590000000001</v>
      </c>
      <c r="AN88" s="235" t="s">
        <v>183</v>
      </c>
      <c r="AO88" s="34">
        <f>IF(AN88="ano",(2*AA88+0.3+2*AB88)*C88*1.2,0)</f>
        <v>0</v>
      </c>
      <c r="AP88" s="34" t="s">
        <v>249</v>
      </c>
      <c r="AQ88" s="34" t="str">
        <f>D88</f>
        <v>nástupiště</v>
      </c>
      <c r="AR88" s="34">
        <f>IF(AP88="ano",((AA88+0.2)*(AB88+0.1)-AA88*AB88)*C88,0)</f>
        <v>0</v>
      </c>
      <c r="AS88" s="34">
        <f>IF(AR88&gt;0.001,(AA88+2*AB88)*C88*1.25,0)</f>
        <v>0</v>
      </c>
      <c r="AT88" t="s">
        <v>184</v>
      </c>
      <c r="AU88" s="13">
        <f>IF(AT88="ano",AK88+$AU$20,0)</f>
        <v>2.5062500000000001</v>
      </c>
      <c r="AV88" s="34">
        <f>'[1]Mezišachetní úsek'!Y90</f>
        <v>0</v>
      </c>
      <c r="AW88" s="34">
        <f>IF(AT88="ano",AU88*C88*0.1,"není")</f>
        <v>0.25062500000000004</v>
      </c>
      <c r="AX88" s="34">
        <f>'[1]Mezišachetní úsek'!AA90</f>
        <v>0</v>
      </c>
      <c r="AY88" s="34"/>
      <c r="AZ88" s="34">
        <f t="shared" si="18"/>
        <v>0</v>
      </c>
      <c r="BA88" s="154" t="str">
        <f>B88</f>
        <v>Š39-Š40</v>
      </c>
      <c r="BD88" s="154" t="str">
        <f t="shared" si="19"/>
        <v>Š39-Š40</v>
      </c>
      <c r="BE88" s="13" t="str">
        <f t="shared" si="20"/>
        <v>nebude</v>
      </c>
      <c r="BF88" s="13">
        <f>IF(BE88="ano",(2*AA88+0.3+2*AB88)*C88*1.2,0)</f>
        <v>0</v>
      </c>
      <c r="BG88" s="13"/>
      <c r="BH88" s="13" t="str">
        <f t="shared" si="21"/>
        <v>nebude</v>
      </c>
      <c r="BI88" s="13">
        <f t="shared" si="22"/>
        <v>0</v>
      </c>
      <c r="BK88" s="13">
        <f>IF(BJ88="ano",AU88*C88,0)</f>
        <v>0</v>
      </c>
      <c r="BL88" t="s">
        <v>184</v>
      </c>
      <c r="BM88">
        <f>IF(BL88="ano",(AA88+AB88*2)*C88,0)</f>
        <v>4.3</v>
      </c>
    </row>
    <row r="89" spans="2:65" ht="15.75" x14ac:dyDescent="0.25">
      <c r="B89" s="84" t="s">
        <v>270</v>
      </c>
      <c r="C89" s="192">
        <v>1.1000000000000001</v>
      </c>
      <c r="D89" s="237" t="s">
        <v>189</v>
      </c>
      <c r="F89" s="415">
        <f t="shared" si="14"/>
        <v>1.0249999999999999</v>
      </c>
      <c r="G89" s="416">
        <f t="shared" si="15"/>
        <v>1.5499999999999998</v>
      </c>
      <c r="H89" s="416"/>
      <c r="I89" s="416">
        <v>3</v>
      </c>
      <c r="J89" s="416">
        <v>6</v>
      </c>
      <c r="K89" s="416">
        <f t="shared" si="23"/>
        <v>0</v>
      </c>
      <c r="L89" s="72">
        <f>'Mezišachetní úsek'!H91</f>
        <v>18</v>
      </c>
      <c r="M89" s="72">
        <f>'Mezišachetní úsek'!I91</f>
        <v>36</v>
      </c>
      <c r="N89" s="72"/>
      <c r="O89" s="72"/>
      <c r="P89" s="416">
        <f t="shared" si="24"/>
        <v>0</v>
      </c>
      <c r="Q89" s="72">
        <f>'Mezišachetní úsek'!J91</f>
        <v>0</v>
      </c>
      <c r="R89" s="72">
        <f>'Mezišachetní úsek'!K91</f>
        <v>0</v>
      </c>
      <c r="S89" s="72">
        <f>'Mezišachetní úsek'!L91</f>
        <v>0</v>
      </c>
      <c r="T89" s="72">
        <f>'Mezišachetní úsek'!M91</f>
        <v>0</v>
      </c>
      <c r="U89" s="72">
        <f>'Mezišachetní úsek'!N91</f>
        <v>1</v>
      </c>
      <c r="V89" s="72">
        <f>'Mezišachetní úsek'!O91</f>
        <v>1</v>
      </c>
      <c r="W89" s="72">
        <f>'Mezišachetní úsek'!P91</f>
        <v>1</v>
      </c>
      <c r="X89" s="72">
        <f>'Mezišachetní úsek'!Q91</f>
        <v>2</v>
      </c>
      <c r="Y89" s="380"/>
      <c r="Z89" t="s">
        <v>184</v>
      </c>
      <c r="AA89">
        <f t="shared" si="25"/>
        <v>1.2249999999999999</v>
      </c>
      <c r="AB89">
        <f t="shared" si="26"/>
        <v>1.65</v>
      </c>
      <c r="AC89" t="str">
        <f t="shared" si="16"/>
        <v>Š40-konec</v>
      </c>
      <c r="AD89" s="395"/>
      <c r="AE89" s="396"/>
      <c r="AF89" s="397"/>
      <c r="AG89" s="398">
        <f>L89*0.055*0.055*3.14</f>
        <v>0.17097300000000001</v>
      </c>
      <c r="AH89" s="399">
        <f>Q89*0.08*0.08*3.14</f>
        <v>0</v>
      </c>
      <c r="AI89" s="398">
        <f>W89*0.35*0.35</f>
        <v>0.12249999999999998</v>
      </c>
      <c r="AJ89" s="397"/>
      <c r="AK89" s="400">
        <f>AA89*AB89</f>
        <v>2.0212499999999998</v>
      </c>
      <c r="AL89" s="34">
        <f t="shared" si="17"/>
        <v>0.29347299999999998</v>
      </c>
      <c r="AM89" s="34">
        <f>(AK89-AL89)*C89</f>
        <v>1.9005546999999998</v>
      </c>
      <c r="AN89" s="235" t="s">
        <v>183</v>
      </c>
      <c r="AO89" s="34">
        <f>IF(AN89="ano",(2*AA89+0.3+2*AB89)*C89*1.2,0)</f>
        <v>0</v>
      </c>
      <c r="AP89" s="34" t="s">
        <v>249</v>
      </c>
      <c r="AQ89" s="34" t="str">
        <f>D89</f>
        <v>nástupiště</v>
      </c>
      <c r="AR89" s="34">
        <f>IF(AP89="ano",((AA89+0.2)*(AB89+0.1)-AA89*AB89)*C89,0)</f>
        <v>0</v>
      </c>
      <c r="AS89" s="34">
        <f>IF(AR89&gt;0.001,(AA89+2*AB89)*C89*1.25,0)</f>
        <v>0</v>
      </c>
      <c r="AT89" t="s">
        <v>184</v>
      </c>
      <c r="AU89" s="13">
        <f>IF(AT89="ano",AK89+$AU$20,0)</f>
        <v>2.82125</v>
      </c>
      <c r="AV89" s="34">
        <f>'[1]Mezišachetní úsek'!Y91</f>
        <v>9.0000000000000011E-2</v>
      </c>
      <c r="AW89" s="34">
        <f>IF(AT89="ano",AU89*C89*0.1,"není")</f>
        <v>0.31033750000000004</v>
      </c>
      <c r="AX89" s="34">
        <f>'[1]Mezišachetní úsek'!AA91</f>
        <v>0.9900000000000001</v>
      </c>
      <c r="AY89" s="34"/>
      <c r="AZ89" s="34">
        <f t="shared" si="18"/>
        <v>0</v>
      </c>
      <c r="BA89" s="154" t="str">
        <f>B89</f>
        <v>Š40-konec</v>
      </c>
      <c r="BD89" s="154" t="str">
        <f t="shared" si="19"/>
        <v>Š40-konec</v>
      </c>
      <c r="BE89" s="13" t="str">
        <f t="shared" si="20"/>
        <v>nebude</v>
      </c>
      <c r="BF89" s="13">
        <f>IF(BE89="ano",(2*AA89+0.3+2*AB89)*C89*1.2,0)</f>
        <v>0</v>
      </c>
      <c r="BG89" s="13"/>
      <c r="BH89" s="13" t="str">
        <f t="shared" si="21"/>
        <v>nebude</v>
      </c>
      <c r="BI89" s="13">
        <f t="shared" si="22"/>
        <v>0</v>
      </c>
      <c r="BK89" s="13">
        <f>IF(BJ89="ano",AU89*C89,0)</f>
        <v>0</v>
      </c>
      <c r="BL89" t="s">
        <v>184</v>
      </c>
      <c r="BM89">
        <f>IF(BL89="ano",(AA89+AB89*2)*C89,0)</f>
        <v>4.9775</v>
      </c>
    </row>
    <row r="90" spans="2:65" ht="15.75" x14ac:dyDescent="0.25">
      <c r="B90" s="84" t="s">
        <v>244</v>
      </c>
      <c r="C90" s="192">
        <v>15.214</v>
      </c>
      <c r="D90" s="237" t="s">
        <v>189</v>
      </c>
      <c r="F90" s="415">
        <f t="shared" si="14"/>
        <v>0.5</v>
      </c>
      <c r="G90" s="416">
        <f t="shared" si="15"/>
        <v>1</v>
      </c>
      <c r="H90" s="416"/>
      <c r="I90" s="416"/>
      <c r="J90" s="416"/>
      <c r="K90" s="416">
        <f t="shared" si="23"/>
        <v>0</v>
      </c>
      <c r="L90" s="72">
        <f>'Mezišachetní úsek'!H92</f>
        <v>0</v>
      </c>
      <c r="M90" s="72">
        <f>'Mezišachetní úsek'!I92</f>
        <v>0</v>
      </c>
      <c r="N90" s="72"/>
      <c r="O90" s="72"/>
      <c r="P90" s="416">
        <f t="shared" si="24"/>
        <v>0</v>
      </c>
      <c r="Q90" s="72">
        <f>'Mezišachetní úsek'!J92</f>
        <v>0</v>
      </c>
      <c r="R90" s="72">
        <f>'Mezišachetní úsek'!K92</f>
        <v>0</v>
      </c>
      <c r="S90" s="72">
        <f>'Mezišachetní úsek'!L92</f>
        <v>0</v>
      </c>
      <c r="T90" s="72">
        <f>'Mezišachetní úsek'!M92</f>
        <v>0</v>
      </c>
      <c r="U90" s="72">
        <f>'Mezišachetní úsek'!N92</f>
        <v>1</v>
      </c>
      <c r="V90" s="72">
        <f>'Mezišachetní úsek'!O92</f>
        <v>2</v>
      </c>
      <c r="W90" s="72">
        <f>'Mezišachetní úsek'!P92</f>
        <v>2</v>
      </c>
      <c r="X90" s="72">
        <f>'Mezišachetní úsek'!Q92</f>
        <v>32</v>
      </c>
      <c r="Y90" s="380"/>
      <c r="Z90" t="s">
        <v>184</v>
      </c>
      <c r="AA90">
        <f t="shared" si="25"/>
        <v>0.7</v>
      </c>
      <c r="AB90">
        <f t="shared" si="26"/>
        <v>1.1000000000000001</v>
      </c>
      <c r="AC90" t="str">
        <f t="shared" si="16"/>
        <v>Š40-Š41</v>
      </c>
      <c r="AD90" s="395"/>
      <c r="AE90" s="396"/>
      <c r="AF90" s="397"/>
      <c r="AG90" s="398">
        <f>L90*0.055*0.055*3.14</f>
        <v>0</v>
      </c>
      <c r="AH90" s="399">
        <f>Q90*0.08*0.08*3.14</f>
        <v>0</v>
      </c>
      <c r="AI90" s="398">
        <f>W90*0.35*0.35</f>
        <v>0.24499999999999997</v>
      </c>
      <c r="AJ90" s="397"/>
      <c r="AK90" s="400">
        <f>AA90*AB90</f>
        <v>0.77</v>
      </c>
      <c r="AL90" s="34">
        <f t="shared" si="17"/>
        <v>0.24499999999999997</v>
      </c>
      <c r="AM90" s="34">
        <f>(AK90-AL90)*C90</f>
        <v>7.9873500000000002</v>
      </c>
      <c r="AN90" s="235" t="s">
        <v>183</v>
      </c>
      <c r="AO90" s="34">
        <f>IF(AN90="ano",(2*AA90+0.3+2*AB90)*C90*1.2,0)</f>
        <v>0</v>
      </c>
      <c r="AP90" s="34" t="s">
        <v>249</v>
      </c>
      <c r="AQ90" s="34" t="str">
        <f>D90</f>
        <v>nástupiště</v>
      </c>
      <c r="AR90" s="34">
        <f>IF(AP90="ano",((AA90+0.2)*(AB90+0.1)-AA90*AB90)*C90,0)</f>
        <v>0</v>
      </c>
      <c r="AS90" s="34">
        <f>IF(AR90&gt;0.001,(AA90+2*AB90)*C90*1.25,0)</f>
        <v>0</v>
      </c>
      <c r="AT90" t="s">
        <v>184</v>
      </c>
      <c r="AU90" s="13">
        <f>IF(AT90="ano",AK90+$AU$20,0)</f>
        <v>1.57</v>
      </c>
      <c r="AV90" s="34">
        <f>'[1]Mezišachetní úsek'!Y92</f>
        <v>4.08</v>
      </c>
      <c r="AW90" s="34">
        <f>IF(AT90="ano",AU90*C90*0.1,"není")</f>
        <v>2.388598</v>
      </c>
      <c r="AX90" s="34">
        <f>'[1]Mezišachetní úsek'!AA92</f>
        <v>44.88</v>
      </c>
      <c r="AY90" s="34"/>
      <c r="AZ90" s="34">
        <f t="shared" si="18"/>
        <v>0</v>
      </c>
      <c r="BA90" s="154" t="str">
        <f>B90</f>
        <v>Š40-Š41</v>
      </c>
      <c r="BD90" s="154" t="str">
        <f t="shared" si="19"/>
        <v>Š40-Š41</v>
      </c>
      <c r="BE90" s="13" t="str">
        <f t="shared" si="20"/>
        <v>nebude</v>
      </c>
      <c r="BF90" s="13">
        <f>IF(BE90="ano",(2*AA90+0.3+2*AB90)*C90*1.2,0)</f>
        <v>0</v>
      </c>
      <c r="BG90" s="13"/>
      <c r="BH90" s="13" t="str">
        <f t="shared" si="21"/>
        <v>nebude</v>
      </c>
      <c r="BI90" s="13">
        <f t="shared" si="22"/>
        <v>0</v>
      </c>
      <c r="BK90" s="13">
        <f>IF(BJ90="ano",AU90*C90,0)</f>
        <v>0</v>
      </c>
      <c r="BL90" t="s">
        <v>184</v>
      </c>
      <c r="BM90">
        <f>IF(BL90="ano",(AA90+AB90*2)*C90,0)</f>
        <v>44.120600000000003</v>
      </c>
    </row>
    <row r="91" spans="2:65" ht="15.75" x14ac:dyDescent="0.25">
      <c r="B91" s="84" t="s">
        <v>308</v>
      </c>
      <c r="C91" s="192">
        <v>12.56</v>
      </c>
      <c r="D91" s="237" t="s">
        <v>189</v>
      </c>
      <c r="F91" s="415">
        <f t="shared" si="14"/>
        <v>0.5</v>
      </c>
      <c r="G91" s="416">
        <f t="shared" si="15"/>
        <v>1</v>
      </c>
      <c r="H91" s="416"/>
      <c r="I91" s="416"/>
      <c r="J91" s="416"/>
      <c r="K91" s="416">
        <f t="shared" si="23"/>
        <v>0</v>
      </c>
      <c r="L91" s="72">
        <f>'Mezišachetní úsek'!H93</f>
        <v>0</v>
      </c>
      <c r="M91" s="72">
        <f>'Mezišachetní úsek'!I93</f>
        <v>0</v>
      </c>
      <c r="N91" s="72"/>
      <c r="O91" s="72"/>
      <c r="P91" s="416">
        <f t="shared" si="24"/>
        <v>0</v>
      </c>
      <c r="Q91" s="72">
        <f>'Mezišachetní úsek'!J93</f>
        <v>0</v>
      </c>
      <c r="R91" s="72">
        <f>'Mezišachetní úsek'!K93</f>
        <v>0</v>
      </c>
      <c r="S91" s="72">
        <f>'Mezišachetní úsek'!L93</f>
        <v>0</v>
      </c>
      <c r="T91" s="72">
        <f>'Mezišachetní úsek'!M93</f>
        <v>0</v>
      </c>
      <c r="U91" s="72">
        <f>'Mezišachetní úsek'!N93</f>
        <v>1</v>
      </c>
      <c r="V91" s="72">
        <f>'Mezišachetní úsek'!O93</f>
        <v>2</v>
      </c>
      <c r="W91" s="72">
        <f>'Mezišachetní úsek'!P93</f>
        <v>2</v>
      </c>
      <c r="X91" s="72">
        <f>'Mezišachetní úsek'!Q93</f>
        <v>28</v>
      </c>
      <c r="Y91" s="380"/>
      <c r="Z91" t="s">
        <v>184</v>
      </c>
      <c r="AA91">
        <f t="shared" si="25"/>
        <v>0.7</v>
      </c>
      <c r="AB91">
        <f t="shared" si="26"/>
        <v>1.1000000000000001</v>
      </c>
      <c r="AC91" t="str">
        <f t="shared" si="16"/>
        <v>Š41-Š41A</v>
      </c>
      <c r="AD91" s="395"/>
      <c r="AE91" s="396"/>
      <c r="AF91" s="397"/>
      <c r="AG91" s="398">
        <f>L91*0.055*0.055*3.14</f>
        <v>0</v>
      </c>
      <c r="AH91" s="399">
        <f>Q91*0.08*0.08*3.14</f>
        <v>0</v>
      </c>
      <c r="AI91" s="398">
        <f>W91*0.35*0.35</f>
        <v>0.24499999999999997</v>
      </c>
      <c r="AJ91" s="397"/>
      <c r="AK91" s="400">
        <f>AA91*AB91</f>
        <v>0.77</v>
      </c>
      <c r="AL91" s="34">
        <f t="shared" si="17"/>
        <v>0.24499999999999997</v>
      </c>
      <c r="AM91" s="34">
        <f>(AK91-AL91)*C91</f>
        <v>6.5940000000000003</v>
      </c>
      <c r="AN91" s="235" t="s">
        <v>183</v>
      </c>
      <c r="AO91" s="34">
        <f>IF(AN91="ano",(2*AA91+0.3+2*AB91)*C91*1.2,0)</f>
        <v>0</v>
      </c>
      <c r="AP91" s="34" t="s">
        <v>249</v>
      </c>
      <c r="AQ91" s="34" t="str">
        <f>D91</f>
        <v>nástupiště</v>
      </c>
      <c r="AR91" s="34">
        <f>IF(AP91="ano",((AA91+0.2)*(AB91+0.1)-AA91*AB91)*C91,0)</f>
        <v>0</v>
      </c>
      <c r="AS91" s="34">
        <f>IF(AR91&gt;0.001,(AA91+2*AB91)*C91*1.25,0)</f>
        <v>0</v>
      </c>
      <c r="AT91" t="s">
        <v>184</v>
      </c>
      <c r="AU91" s="13">
        <f>IF(AT91="ano",AK91+$AU$20,0)</f>
        <v>1.57</v>
      </c>
      <c r="AV91" s="34">
        <f>'[1]Mezišachetní úsek'!Y93</f>
        <v>0</v>
      </c>
      <c r="AW91" s="34">
        <f>IF(AT91="ano",AU91*C91*0.1,"není")</f>
        <v>1.9719200000000001</v>
      </c>
      <c r="AX91" s="34">
        <f>'[1]Mezišachetní úsek'!AA93</f>
        <v>0</v>
      </c>
      <c r="AY91" s="34"/>
      <c r="AZ91" s="34">
        <f t="shared" si="18"/>
        <v>0</v>
      </c>
      <c r="BA91" s="154" t="str">
        <f>B91</f>
        <v>Š41-Š41A</v>
      </c>
      <c r="BD91" s="154" t="str">
        <f t="shared" si="19"/>
        <v>Š41-Š41A</v>
      </c>
      <c r="BE91" s="13" t="str">
        <f t="shared" si="20"/>
        <v>nebude</v>
      </c>
      <c r="BF91" s="13">
        <f>IF(BE91="ano",(2*AA91+0.3+2*AB91)*C91*1.2,0)</f>
        <v>0</v>
      </c>
      <c r="BG91" s="13"/>
      <c r="BH91" s="13" t="str">
        <f t="shared" si="21"/>
        <v>nebude</v>
      </c>
      <c r="BI91" s="13">
        <f t="shared" si="22"/>
        <v>0</v>
      </c>
      <c r="BK91" s="13">
        <f>IF(BJ91="ano",AU91*C91,0)</f>
        <v>0</v>
      </c>
      <c r="BL91" t="s">
        <v>184</v>
      </c>
      <c r="BM91">
        <f>IF(BL91="ano",(AA91+AB91*2)*C91,0)</f>
        <v>36.424000000000007</v>
      </c>
    </row>
    <row r="92" spans="2:65" ht="15.75" x14ac:dyDescent="0.25">
      <c r="B92" s="84" t="s">
        <v>309</v>
      </c>
      <c r="C92" s="192">
        <v>2.4929999999999999</v>
      </c>
      <c r="D92" s="237" t="s">
        <v>189</v>
      </c>
      <c r="F92" s="415">
        <f t="shared" si="14"/>
        <v>0.52499999999999991</v>
      </c>
      <c r="G92" s="416">
        <f t="shared" si="15"/>
        <v>1.0499999999999998</v>
      </c>
      <c r="H92" s="416"/>
      <c r="I92" s="416">
        <v>3</v>
      </c>
      <c r="J92" s="416">
        <v>6</v>
      </c>
      <c r="K92" s="416">
        <f t="shared" si="23"/>
        <v>0</v>
      </c>
      <c r="L92" s="72">
        <f>'Mezišachetní úsek'!H94</f>
        <v>18</v>
      </c>
      <c r="M92" s="72">
        <f>'Mezišachetní úsek'!I94</f>
        <v>72</v>
      </c>
      <c r="N92" s="72"/>
      <c r="O92" s="72"/>
      <c r="P92" s="416">
        <f t="shared" si="24"/>
        <v>0</v>
      </c>
      <c r="Q92" s="72">
        <f>'Mezišachetní úsek'!J94</f>
        <v>0</v>
      </c>
      <c r="R92" s="72">
        <f>'Mezišachetní úsek'!K94</f>
        <v>0</v>
      </c>
      <c r="S92" s="72">
        <f>'Mezišachetní úsek'!L94</f>
        <v>0</v>
      </c>
      <c r="T92" s="72">
        <f>'Mezišachetní úsek'!M94</f>
        <v>0</v>
      </c>
      <c r="U92" s="72">
        <f>'Mezišachetní úsek'!N94</f>
        <v>0</v>
      </c>
      <c r="V92" s="72">
        <f>'Mezišachetní úsek'!O94</f>
        <v>0</v>
      </c>
      <c r="W92" s="72">
        <f>'Mezišachetní úsek'!P94</f>
        <v>0</v>
      </c>
      <c r="X92" s="72">
        <f>'Mezišachetní úsek'!Q94</f>
        <v>0</v>
      </c>
      <c r="Y92" s="380"/>
      <c r="Z92" t="s">
        <v>184</v>
      </c>
      <c r="AA92">
        <f t="shared" si="25"/>
        <v>0.72499999999999987</v>
      </c>
      <c r="AB92">
        <f t="shared" si="26"/>
        <v>1.1499999999999999</v>
      </c>
      <c r="AC92" t="str">
        <f t="shared" si="16"/>
        <v>Š41A-konec</v>
      </c>
      <c r="AD92" s="395"/>
      <c r="AE92" s="396"/>
      <c r="AF92" s="397"/>
      <c r="AG92" s="398">
        <f>L92*0.055*0.055*3.14</f>
        <v>0.17097300000000001</v>
      </c>
      <c r="AH92" s="399">
        <f>Q92*0.08*0.08*3.14</f>
        <v>0</v>
      </c>
      <c r="AI92" s="398">
        <f>W92*0.35*0.35</f>
        <v>0</v>
      </c>
      <c r="AJ92" s="397"/>
      <c r="AK92" s="400">
        <f>AA92*AB92</f>
        <v>0.83374999999999977</v>
      </c>
      <c r="AL92" s="34">
        <f t="shared" si="17"/>
        <v>0.17097300000000001</v>
      </c>
      <c r="AM92" s="34">
        <f>(AK92-AL92)*C92</f>
        <v>1.6523030609999994</v>
      </c>
      <c r="AN92" s="235" t="s">
        <v>183</v>
      </c>
      <c r="AO92" s="34">
        <f>IF(AN92="ano",(2*AA92+0.3+2*AB92)*C92*1.2,0)</f>
        <v>0</v>
      </c>
      <c r="AP92" s="34" t="s">
        <v>249</v>
      </c>
      <c r="AQ92" s="34" t="str">
        <f>D92</f>
        <v>nástupiště</v>
      </c>
      <c r="AR92" s="34">
        <f>IF(AP92="ano",((AA92+0.2)*(AB92+0.1)-AA92*AB92)*C92,0)</f>
        <v>0</v>
      </c>
      <c r="AS92" s="34">
        <f>IF(AR92&gt;0.001,(AA92+2*AB92)*C92*1.25,0)</f>
        <v>0</v>
      </c>
      <c r="AT92" t="s">
        <v>184</v>
      </c>
      <c r="AU92" s="13">
        <f>IF(AT92="ano",AK92+$AU$20,0)</f>
        <v>1.6337499999999998</v>
      </c>
      <c r="AV92" s="34">
        <f>'[1]Mezišachetní úsek'!Y94</f>
        <v>0</v>
      </c>
      <c r="AW92" s="34">
        <f>IF(AT92="ano",AU92*C92*0.1,"není")</f>
        <v>0.40729387499999997</v>
      </c>
      <c r="AX92" s="34">
        <f>'[1]Mezišachetní úsek'!AA94</f>
        <v>0</v>
      </c>
      <c r="AY92" s="34"/>
      <c r="AZ92" s="34">
        <f t="shared" si="18"/>
        <v>0</v>
      </c>
      <c r="BA92" s="154" t="str">
        <f>B92</f>
        <v>Š41A-konec</v>
      </c>
      <c r="BD92" s="154" t="str">
        <f t="shared" si="19"/>
        <v>Š41A-konec</v>
      </c>
      <c r="BE92" s="13" t="str">
        <f t="shared" si="20"/>
        <v>nebude</v>
      </c>
      <c r="BF92" s="13">
        <f>IF(BE92="ano",(2*AA92+0.3+2*AB92)*C92*1.2,0)</f>
        <v>0</v>
      </c>
      <c r="BG92" s="13"/>
      <c r="BH92" s="13" t="str">
        <f t="shared" si="21"/>
        <v>nebude</v>
      </c>
      <c r="BI92" s="13">
        <f t="shared" si="22"/>
        <v>0</v>
      </c>
      <c r="BK92" s="13">
        <f>IF(BJ92="ano",AU92*C92,0)</f>
        <v>0</v>
      </c>
      <c r="BL92" t="s">
        <v>184</v>
      </c>
      <c r="BM92">
        <f>IF(BL92="ano",(AA92+AB92*2)*C92,0)</f>
        <v>7.5413249999999987</v>
      </c>
    </row>
    <row r="93" spans="2:65" ht="15.75" x14ac:dyDescent="0.25">
      <c r="B93" s="84"/>
      <c r="C93" s="192"/>
      <c r="D93" s="237"/>
      <c r="F93" s="415">
        <f t="shared" si="14"/>
        <v>0</v>
      </c>
      <c r="G93" s="416">
        <f t="shared" si="15"/>
        <v>0</v>
      </c>
      <c r="H93" s="416"/>
      <c r="I93" s="416"/>
      <c r="J93" s="416"/>
      <c r="K93" s="416">
        <f t="shared" si="23"/>
        <v>0</v>
      </c>
      <c r="L93" s="72">
        <f>'Mezišachetní úsek'!H95</f>
        <v>0</v>
      </c>
      <c r="M93" s="72">
        <f>'Mezišachetní úsek'!I95</f>
        <v>0</v>
      </c>
      <c r="N93" s="72"/>
      <c r="O93" s="72"/>
      <c r="P93" s="416">
        <f t="shared" si="24"/>
        <v>0</v>
      </c>
      <c r="Q93" s="72">
        <f>'Mezišachetní úsek'!J95</f>
        <v>0</v>
      </c>
      <c r="R93" s="72">
        <f>'Mezišachetní úsek'!K95</f>
        <v>0</v>
      </c>
      <c r="S93" s="72">
        <f>'Mezišachetní úsek'!L95</f>
        <v>0</v>
      </c>
      <c r="T93" s="72">
        <f>'Mezišachetní úsek'!M95</f>
        <v>0</v>
      </c>
      <c r="U93" s="72">
        <f>'Mezišachetní úsek'!N95</f>
        <v>0</v>
      </c>
      <c r="V93" s="72">
        <f>'Mezišachetní úsek'!O95</f>
        <v>0</v>
      </c>
      <c r="W93" s="72">
        <f>'Mezišachetní úsek'!P95</f>
        <v>0</v>
      </c>
      <c r="X93" s="72">
        <f>'Mezišachetní úsek'!Q95</f>
        <v>0</v>
      </c>
      <c r="Y93" s="380"/>
      <c r="AA93">
        <f t="shared" si="25"/>
        <v>0</v>
      </c>
      <c r="AB93">
        <f t="shared" si="26"/>
        <v>0</v>
      </c>
      <c r="AC93">
        <f t="shared" si="16"/>
        <v>0</v>
      </c>
      <c r="AD93" s="395"/>
      <c r="AE93" s="396"/>
      <c r="AF93" s="397"/>
      <c r="AG93" s="398">
        <f>L93*0.055*0.055*3.14</f>
        <v>0</v>
      </c>
      <c r="AH93" s="399">
        <f>Q93*0.08*0.08*3.14</f>
        <v>0</v>
      </c>
      <c r="AI93" s="398">
        <f>W93*0.35*0.35</f>
        <v>0</v>
      </c>
      <c r="AJ93" s="397"/>
      <c r="AK93" s="400">
        <f>AA93*AB93</f>
        <v>0</v>
      </c>
      <c r="AL93" s="34">
        <f t="shared" si="17"/>
        <v>0</v>
      </c>
      <c r="AM93" s="34">
        <f>(AK93-AL93)*C93</f>
        <v>0</v>
      </c>
      <c r="AN93" s="235"/>
      <c r="AO93" s="34">
        <f>IF(AN93="ano",(2*AA93+0.3+2*AB93)*C93*1.2,0)</f>
        <v>0</v>
      </c>
      <c r="AP93" s="34" t="s">
        <v>249</v>
      </c>
      <c r="AQ93" s="34">
        <f>D93</f>
        <v>0</v>
      </c>
      <c r="AR93" s="34">
        <f>IF(AP93="ano",((AA93+0.2)*(AB93+0.1)-AA93*AB93)*C93,0)</f>
        <v>0</v>
      </c>
      <c r="AS93" s="34">
        <f>IF(AR93&gt;0.001,(AA93+2*AB93)*C93*1.25,0)</f>
        <v>0</v>
      </c>
      <c r="AU93" s="13">
        <f>IF(AT93="ano",AK93+$AU$20,0)</f>
        <v>0</v>
      </c>
      <c r="AV93" s="34">
        <f>'[1]Mezišachetní úsek'!Y95</f>
        <v>0</v>
      </c>
      <c r="AW93" s="34" t="str">
        <f>IF(AT93="ano",AU93*C93*0.1,"není")</f>
        <v>není</v>
      </c>
      <c r="AX93" s="34">
        <f>'[1]Mezišachetní úsek'!AA95</f>
        <v>0</v>
      </c>
      <c r="AY93" s="34"/>
      <c r="AZ93" s="34">
        <f t="shared" si="18"/>
        <v>0</v>
      </c>
      <c r="BA93" s="154">
        <f>B93</f>
        <v>0</v>
      </c>
      <c r="BD93" s="154">
        <f t="shared" si="19"/>
        <v>0</v>
      </c>
      <c r="BE93" s="13">
        <f t="shared" si="20"/>
        <v>0</v>
      </c>
      <c r="BF93" s="13">
        <f>IF(BE93="ano",(2*AA93+0.3+2*AB93)*C93*1.2,0)</f>
        <v>0</v>
      </c>
      <c r="BG93" s="13"/>
      <c r="BH93" s="13">
        <f t="shared" si="21"/>
        <v>0</v>
      </c>
      <c r="BI93" s="13">
        <f t="shared" si="22"/>
        <v>0</v>
      </c>
      <c r="BK93" s="13">
        <f>IF(BJ93="ano",AU93*C93,0)</f>
        <v>0</v>
      </c>
      <c r="BM93">
        <f>IF(BL93="ano",(AA93+AB93*2)*C93,0)</f>
        <v>0</v>
      </c>
    </row>
    <row r="94" spans="2:65" ht="15.75" x14ac:dyDescent="0.25">
      <c r="B94" s="84" t="s">
        <v>271</v>
      </c>
      <c r="C94" s="192">
        <v>17.623000000000001</v>
      </c>
      <c r="D94" s="254" t="s">
        <v>245</v>
      </c>
      <c r="F94" s="415">
        <f t="shared" si="14"/>
        <v>1</v>
      </c>
      <c r="G94" s="416">
        <f t="shared" si="15"/>
        <v>0.5</v>
      </c>
      <c r="H94" s="416"/>
      <c r="I94" s="416"/>
      <c r="J94" s="416"/>
      <c r="K94" s="416">
        <f t="shared" si="23"/>
        <v>0</v>
      </c>
      <c r="L94" s="72">
        <f>'Mezišachetní úsek'!H96</f>
        <v>0</v>
      </c>
      <c r="M94" s="72">
        <f>'Mezišachetní úsek'!I96</f>
        <v>0</v>
      </c>
      <c r="N94" s="72"/>
      <c r="O94" s="72"/>
      <c r="P94" s="416">
        <f t="shared" si="24"/>
        <v>0</v>
      </c>
      <c r="Q94" s="72">
        <f>'Mezišachetní úsek'!J96</f>
        <v>0</v>
      </c>
      <c r="R94" s="72">
        <f>'Mezišachetní úsek'!K96</f>
        <v>0</v>
      </c>
      <c r="S94" s="72">
        <f>'Mezišachetní úsek'!L96</f>
        <v>0</v>
      </c>
      <c r="T94" s="72">
        <f>'Mezišachetní úsek'!M96</f>
        <v>0</v>
      </c>
      <c r="U94" s="72">
        <f>'Mezišachetní úsek'!N96</f>
        <v>2</v>
      </c>
      <c r="V94" s="72">
        <f>'Mezišachetní úsek'!O96</f>
        <v>1</v>
      </c>
      <c r="W94" s="72">
        <f>'Mezišachetní úsek'!P96</f>
        <v>2</v>
      </c>
      <c r="X94" s="72">
        <f>'Mezišachetní úsek'!Q96</f>
        <v>38</v>
      </c>
      <c r="Y94" s="380"/>
      <c r="Z94" t="s">
        <v>184</v>
      </c>
      <c r="AA94">
        <f t="shared" si="25"/>
        <v>1.2</v>
      </c>
      <c r="AB94">
        <f t="shared" si="26"/>
        <v>0.6</v>
      </c>
      <c r="AC94" t="str">
        <f t="shared" si="16"/>
        <v>Š29-Š42</v>
      </c>
      <c r="AD94" s="395"/>
      <c r="AE94" s="396"/>
      <c r="AF94" s="397"/>
      <c r="AG94" s="398">
        <f>L94*0.055*0.055*3.14</f>
        <v>0</v>
      </c>
      <c r="AH94" s="399">
        <f>Q94*0.08*0.08*3.14</f>
        <v>0</v>
      </c>
      <c r="AI94" s="398">
        <f>W94*0.35*0.35</f>
        <v>0.24499999999999997</v>
      </c>
      <c r="AJ94" s="397"/>
      <c r="AK94" s="400">
        <f>AA94*AB94</f>
        <v>0.72</v>
      </c>
      <c r="AL94" s="34">
        <f t="shared" si="17"/>
        <v>0.24499999999999997</v>
      </c>
      <c r="AM94" s="34">
        <f>(AK94-AL94)*C94</f>
        <v>8.3709249999999997</v>
      </c>
      <c r="AN94" s="235" t="s">
        <v>183</v>
      </c>
      <c r="AO94" s="34">
        <f>IF(AN94="ano",(2*AA94+0.3+2*AB94)*C94*1.2,0)</f>
        <v>0</v>
      </c>
      <c r="AP94" s="34" t="s">
        <v>249</v>
      </c>
      <c r="AQ94" s="34" t="str">
        <f>D94</f>
        <v>nástupiště - hradby</v>
      </c>
      <c r="AR94" s="34">
        <f>IF(AP94="ano",((AA94+0.2)*(AB94+0.1)-AA94*AB94)*C94,0)</f>
        <v>0</v>
      </c>
      <c r="AS94" s="34">
        <f>IF(AR94&gt;0.001,(AA94+2*AB94)*C94*1.25,0)</f>
        <v>0</v>
      </c>
      <c r="AT94" t="s">
        <v>184</v>
      </c>
      <c r="AU94" s="13">
        <f>IF(AT94="ano",AK94+$AU$20,0)</f>
        <v>1.52</v>
      </c>
      <c r="AV94" s="34">
        <f>'[1]Mezišachetní úsek'!Y96</f>
        <v>0</v>
      </c>
      <c r="AW94" s="34">
        <f>IF(AT94="ano",AU94*C94*0.1,"není")</f>
        <v>2.6786960000000004</v>
      </c>
      <c r="AX94" s="34">
        <f>'[1]Mezišachetní úsek'!AA96</f>
        <v>0</v>
      </c>
      <c r="AY94" s="34"/>
      <c r="AZ94" s="34">
        <f t="shared" si="18"/>
        <v>0</v>
      </c>
      <c r="BA94" s="154" t="str">
        <f>B94</f>
        <v>Š29-Š42</v>
      </c>
      <c r="BD94" s="154" t="str">
        <f t="shared" si="19"/>
        <v>Š29-Š42</v>
      </c>
      <c r="BE94" s="13" t="str">
        <f t="shared" si="20"/>
        <v>nebude</v>
      </c>
      <c r="BF94" s="13">
        <f>IF(BE94="ano",(2*AA94+0.3+2*AB94)*C94*1.2,0)</f>
        <v>0</v>
      </c>
      <c r="BG94" s="13"/>
      <c r="BH94" s="13" t="str">
        <f t="shared" si="21"/>
        <v>nebude</v>
      </c>
      <c r="BI94" s="13">
        <f t="shared" si="22"/>
        <v>0</v>
      </c>
      <c r="BK94" s="13">
        <f>IF(BJ94="ano",AU94*C94,0)</f>
        <v>0</v>
      </c>
      <c r="BL94" t="s">
        <v>184</v>
      </c>
      <c r="BM94">
        <f>IF(BL94="ano",(AA94+AB94*2)*C94,0)</f>
        <v>42.295200000000001</v>
      </c>
    </row>
    <row r="95" spans="2:65" ht="15.75" x14ac:dyDescent="0.25">
      <c r="B95" s="84" t="s">
        <v>169</v>
      </c>
      <c r="C95" s="192">
        <v>12.095000000000001</v>
      </c>
      <c r="D95" s="254" t="s">
        <v>245</v>
      </c>
      <c r="F95" s="415">
        <f t="shared" si="14"/>
        <v>1</v>
      </c>
      <c r="G95" s="416">
        <f t="shared" si="15"/>
        <v>0.5</v>
      </c>
      <c r="H95" s="416"/>
      <c r="I95" s="416"/>
      <c r="J95" s="416"/>
      <c r="K95" s="416">
        <f t="shared" si="23"/>
        <v>0</v>
      </c>
      <c r="L95" s="72">
        <f>'Mezišachetní úsek'!H97</f>
        <v>0</v>
      </c>
      <c r="M95" s="72">
        <f>'Mezišachetní úsek'!I97</f>
        <v>0</v>
      </c>
      <c r="N95" s="72"/>
      <c r="O95" s="72"/>
      <c r="P95" s="416">
        <f t="shared" si="24"/>
        <v>0</v>
      </c>
      <c r="Q95" s="72">
        <f>'Mezišachetní úsek'!J97</f>
        <v>0</v>
      </c>
      <c r="R95" s="72">
        <f>'Mezišachetní úsek'!K97</f>
        <v>0</v>
      </c>
      <c r="S95" s="72">
        <f>'Mezišachetní úsek'!L97</f>
        <v>0</v>
      </c>
      <c r="T95" s="72">
        <f>'Mezišachetní úsek'!M97</f>
        <v>0</v>
      </c>
      <c r="U95" s="72">
        <f>'Mezišachetní úsek'!N97</f>
        <v>2</v>
      </c>
      <c r="V95" s="72">
        <f>'Mezišachetní úsek'!O97</f>
        <v>1</v>
      </c>
      <c r="W95" s="72">
        <f>'Mezišachetní úsek'!P97</f>
        <v>2</v>
      </c>
      <c r="X95" s="72">
        <f>'Mezišachetní úsek'!Q97</f>
        <v>26</v>
      </c>
      <c r="Y95" s="380"/>
      <c r="Z95" t="s">
        <v>184</v>
      </c>
      <c r="AA95">
        <f t="shared" si="25"/>
        <v>1.2</v>
      </c>
      <c r="AB95">
        <f t="shared" si="26"/>
        <v>0.6</v>
      </c>
      <c r="AC95" t="str">
        <f t="shared" si="16"/>
        <v>Š42-Š43</v>
      </c>
      <c r="AD95" s="395"/>
      <c r="AE95" s="396"/>
      <c r="AF95" s="397"/>
      <c r="AG95" s="398">
        <f>L95*0.055*0.055*3.14</f>
        <v>0</v>
      </c>
      <c r="AH95" s="399">
        <f>Q95*0.08*0.08*3.14</f>
        <v>0</v>
      </c>
      <c r="AI95" s="398">
        <f>W95*0.35*0.35</f>
        <v>0.24499999999999997</v>
      </c>
      <c r="AJ95" s="397"/>
      <c r="AK95" s="400">
        <f>AA95*AB95</f>
        <v>0.72</v>
      </c>
      <c r="AL95" s="34">
        <f t="shared" si="17"/>
        <v>0.24499999999999997</v>
      </c>
      <c r="AM95" s="34">
        <f>(AK95-AL95)*C95</f>
        <v>5.7451249999999998</v>
      </c>
      <c r="AN95" s="235" t="s">
        <v>183</v>
      </c>
      <c r="AO95" s="34">
        <f>IF(AN95="ano",(2*AA95+0.3+2*AB95)*C95*1.2,0)</f>
        <v>0</v>
      </c>
      <c r="AP95" s="34" t="s">
        <v>249</v>
      </c>
      <c r="AQ95" s="34" t="str">
        <f>D95</f>
        <v>nástupiště - hradby</v>
      </c>
      <c r="AR95" s="34">
        <f>IF(AP95="ano",((AA95+0.2)*(AB95+0.1)-AA95*AB95)*C95,0)</f>
        <v>0</v>
      </c>
      <c r="AS95" s="34">
        <f>IF(AR95&gt;0.001,(AA95+2*AB95)*C95*1.25,0)</f>
        <v>0</v>
      </c>
      <c r="AT95" t="s">
        <v>184</v>
      </c>
      <c r="AU95" s="13">
        <f>IF(AT95="ano",AK95+$AU$20,0)</f>
        <v>1.52</v>
      </c>
      <c r="AV95" s="34">
        <f>'[1]Mezišachetní úsek'!Y97</f>
        <v>0.11000000000000001</v>
      </c>
      <c r="AW95" s="34">
        <f>IF(AT95="ano",AU95*C95*0.1,"není")</f>
        <v>1.8384400000000003</v>
      </c>
      <c r="AX95" s="34">
        <f>'[1]Mezišachetní úsek'!AA97</f>
        <v>1.2100000000000002</v>
      </c>
      <c r="AY95" s="34"/>
      <c r="AZ95" s="34">
        <f t="shared" si="18"/>
        <v>0</v>
      </c>
      <c r="BA95" s="154" t="str">
        <f>B95</f>
        <v>Š42-Š43</v>
      </c>
      <c r="BD95" s="154" t="str">
        <f t="shared" si="19"/>
        <v>Š42-Š43</v>
      </c>
      <c r="BE95" s="13" t="str">
        <f t="shared" si="20"/>
        <v>nebude</v>
      </c>
      <c r="BF95" s="13">
        <f>IF(BE95="ano",(2*AA95+0.3+2*AB95)*C95*1.2,0)</f>
        <v>0</v>
      </c>
      <c r="BG95" s="13"/>
      <c r="BH95" s="13" t="str">
        <f t="shared" si="21"/>
        <v>nebude</v>
      </c>
      <c r="BI95" s="13">
        <f t="shared" si="22"/>
        <v>0</v>
      </c>
      <c r="BK95" s="13">
        <f>IF(BJ95="ano",AU95*C95,0)</f>
        <v>0</v>
      </c>
      <c r="BL95" t="s">
        <v>184</v>
      </c>
      <c r="BM95">
        <f>IF(BL95="ano",(AA95+AB95*2)*C95,0)</f>
        <v>29.027999999999999</v>
      </c>
    </row>
    <row r="96" spans="2:65" ht="15.75" x14ac:dyDescent="0.25">
      <c r="B96" s="84" t="s">
        <v>170</v>
      </c>
      <c r="C96" s="192">
        <v>12.69</v>
      </c>
      <c r="D96" s="254" t="s">
        <v>245</v>
      </c>
      <c r="F96" s="415">
        <f t="shared" si="14"/>
        <v>1</v>
      </c>
      <c r="G96" s="416">
        <f t="shared" si="15"/>
        <v>0.5</v>
      </c>
      <c r="H96" s="416"/>
      <c r="I96" s="416"/>
      <c r="J96" s="416"/>
      <c r="K96" s="416">
        <f t="shared" si="23"/>
        <v>0</v>
      </c>
      <c r="L96" s="72">
        <f>'Mezišachetní úsek'!H98</f>
        <v>0</v>
      </c>
      <c r="M96" s="72">
        <f>'Mezišachetní úsek'!I98</f>
        <v>0</v>
      </c>
      <c r="N96" s="72"/>
      <c r="O96" s="72"/>
      <c r="P96" s="416">
        <f t="shared" si="24"/>
        <v>0</v>
      </c>
      <c r="Q96" s="72">
        <f>'Mezišachetní úsek'!J98</f>
        <v>0</v>
      </c>
      <c r="R96" s="72">
        <f>'Mezišachetní úsek'!K98</f>
        <v>0</v>
      </c>
      <c r="S96" s="72">
        <f>'Mezišachetní úsek'!L98</f>
        <v>0</v>
      </c>
      <c r="T96" s="72">
        <f>'Mezišachetní úsek'!M98</f>
        <v>0</v>
      </c>
      <c r="U96" s="72">
        <f>'Mezišachetní úsek'!N98</f>
        <v>2</v>
      </c>
      <c r="V96" s="72">
        <f>'Mezišachetní úsek'!O98</f>
        <v>1</v>
      </c>
      <c r="W96" s="72">
        <f>'Mezišachetní úsek'!P98</f>
        <v>2</v>
      </c>
      <c r="X96" s="72">
        <f>'Mezišachetní úsek'!Q98</f>
        <v>28</v>
      </c>
      <c r="Y96" s="380"/>
      <c r="Z96" t="s">
        <v>184</v>
      </c>
      <c r="AA96">
        <f t="shared" si="25"/>
        <v>1.2</v>
      </c>
      <c r="AB96">
        <f t="shared" si="26"/>
        <v>0.6</v>
      </c>
      <c r="AC96" t="str">
        <f t="shared" si="16"/>
        <v>Š43-Š44</v>
      </c>
      <c r="AD96" s="395"/>
      <c r="AE96" s="396"/>
      <c r="AF96" s="397"/>
      <c r="AG96" s="398">
        <f>L96*0.055*0.055*3.14</f>
        <v>0</v>
      </c>
      <c r="AH96" s="399">
        <f>Q96*0.08*0.08*3.14</f>
        <v>0</v>
      </c>
      <c r="AI96" s="398">
        <f>W96*0.35*0.35</f>
        <v>0.24499999999999997</v>
      </c>
      <c r="AJ96" s="397"/>
      <c r="AK96" s="400">
        <f>AA96*AB96</f>
        <v>0.72</v>
      </c>
      <c r="AL96" s="34">
        <f t="shared" si="17"/>
        <v>0.24499999999999997</v>
      </c>
      <c r="AM96" s="34">
        <f>(AK96-AL96)*C96</f>
        <v>6.0277499999999993</v>
      </c>
      <c r="AN96" s="235" t="s">
        <v>183</v>
      </c>
      <c r="AO96" s="34">
        <f>IF(AN96="ano",(2*AA96+0.3+2*AB96)*C96*1.2,0)</f>
        <v>0</v>
      </c>
      <c r="AP96" s="34" t="s">
        <v>249</v>
      </c>
      <c r="AQ96" s="34" t="str">
        <f>D96</f>
        <v>nástupiště - hradby</v>
      </c>
      <c r="AR96" s="34">
        <f>IF(AP96="ano",((AA96+0.2)*(AB96+0.1)-AA96*AB96)*C96,0)</f>
        <v>0</v>
      </c>
      <c r="AS96" s="34">
        <f>IF(AR96&gt;0.001,(AA96+2*AB96)*C96*1.25,0)</f>
        <v>0</v>
      </c>
      <c r="AT96" t="s">
        <v>184</v>
      </c>
      <c r="AU96" s="13">
        <f>IF(AT96="ano",AK96+$AU$20,0)</f>
        <v>1.52</v>
      </c>
      <c r="AV96" s="34">
        <f>'[1]Mezišachetní úsek'!Y98</f>
        <v>6.4980000000000002</v>
      </c>
      <c r="AW96" s="34">
        <f>IF(AT96="ano",AU96*C96*0.1,"není")</f>
        <v>1.9288799999999999</v>
      </c>
      <c r="AX96" s="34">
        <f>'[1]Mezišachetní úsek'!AA98</f>
        <v>79.420000000000016</v>
      </c>
      <c r="AY96" s="34"/>
      <c r="AZ96" s="34">
        <f t="shared" si="18"/>
        <v>0</v>
      </c>
      <c r="BA96" s="154" t="str">
        <f>B96</f>
        <v>Š43-Š44</v>
      </c>
      <c r="BD96" s="154" t="str">
        <f t="shared" si="19"/>
        <v>Š43-Š44</v>
      </c>
      <c r="BE96" s="13" t="str">
        <f t="shared" si="20"/>
        <v>nebude</v>
      </c>
      <c r="BF96" s="13">
        <f>IF(BE96="ano",(2*AA96+0.3+2*AB96)*C96*1.2,0)</f>
        <v>0</v>
      </c>
      <c r="BG96" s="13"/>
      <c r="BH96" s="13" t="str">
        <f t="shared" si="21"/>
        <v>nebude</v>
      </c>
      <c r="BI96" s="13">
        <f t="shared" si="22"/>
        <v>0</v>
      </c>
      <c r="BK96" s="13">
        <f>IF(BJ96="ano",AU96*C96,0)</f>
        <v>0</v>
      </c>
      <c r="BL96" t="s">
        <v>184</v>
      </c>
      <c r="BM96">
        <f>IF(BL96="ano",(AA96+AB96*2)*C96,0)</f>
        <v>30.455999999999996</v>
      </c>
    </row>
    <row r="97" spans="2:65" ht="15.75" x14ac:dyDescent="0.25">
      <c r="B97" s="84" t="s">
        <v>272</v>
      </c>
      <c r="C97" s="192">
        <v>7.3689999999999998</v>
      </c>
      <c r="D97" s="254" t="s">
        <v>245</v>
      </c>
      <c r="F97" s="415">
        <f t="shared" si="14"/>
        <v>1</v>
      </c>
      <c r="G97" s="416">
        <f t="shared" si="15"/>
        <v>0.5</v>
      </c>
      <c r="H97" s="416"/>
      <c r="I97" s="416"/>
      <c r="J97" s="416"/>
      <c r="K97" s="416">
        <f t="shared" si="23"/>
        <v>0</v>
      </c>
      <c r="L97" s="72">
        <f>'Mezišachetní úsek'!H99</f>
        <v>0</v>
      </c>
      <c r="M97" s="72">
        <f>'Mezišachetní úsek'!I99</f>
        <v>0</v>
      </c>
      <c r="N97" s="72"/>
      <c r="O97" s="72"/>
      <c r="P97" s="416">
        <f t="shared" si="24"/>
        <v>0</v>
      </c>
      <c r="Q97" s="72">
        <f>'Mezišachetní úsek'!J99</f>
        <v>0</v>
      </c>
      <c r="R97" s="72">
        <f>'Mezišachetní úsek'!K99</f>
        <v>0</v>
      </c>
      <c r="S97" s="72">
        <f>'Mezišachetní úsek'!L99</f>
        <v>0</v>
      </c>
      <c r="T97" s="72">
        <f>'Mezišachetní úsek'!M99</f>
        <v>0</v>
      </c>
      <c r="U97" s="72">
        <f>'Mezišachetní úsek'!N99</f>
        <v>2</v>
      </c>
      <c r="V97" s="72">
        <f>'Mezišachetní úsek'!O99</f>
        <v>1</v>
      </c>
      <c r="W97" s="72">
        <f>'Mezišachetní úsek'!P99</f>
        <v>2</v>
      </c>
      <c r="X97" s="72">
        <f>'Mezišachetní úsek'!Q99</f>
        <v>16</v>
      </c>
      <c r="Y97" s="380"/>
      <c r="Z97" t="s">
        <v>184</v>
      </c>
      <c r="AA97">
        <f t="shared" si="25"/>
        <v>1.2</v>
      </c>
      <c r="AB97">
        <f t="shared" si="26"/>
        <v>0.6</v>
      </c>
      <c r="AC97" t="str">
        <f t="shared" si="16"/>
        <v>Š44-Š45</v>
      </c>
      <c r="AD97" s="395"/>
      <c r="AE97" s="396"/>
      <c r="AF97" s="397"/>
      <c r="AG97" s="398">
        <f>L97*0.055*0.055*3.14</f>
        <v>0</v>
      </c>
      <c r="AH97" s="399">
        <f>Q97*0.08*0.08*3.14</f>
        <v>0</v>
      </c>
      <c r="AI97" s="398">
        <f>W97*0.35*0.35</f>
        <v>0.24499999999999997</v>
      </c>
      <c r="AJ97" s="397"/>
      <c r="AK97" s="400">
        <f>AA97*AB97</f>
        <v>0.72</v>
      </c>
      <c r="AL97" s="34">
        <f t="shared" si="17"/>
        <v>0.24499999999999997</v>
      </c>
      <c r="AM97" s="34">
        <f>(AK97-AL97)*C97</f>
        <v>3.5002749999999998</v>
      </c>
      <c r="AN97" s="235" t="s">
        <v>183</v>
      </c>
      <c r="AO97" s="34">
        <f>IF(AN97="ano",(2*AA97+0.3+2*AB97)*C97*1.2,0)</f>
        <v>0</v>
      </c>
      <c r="AP97" s="34" t="s">
        <v>249</v>
      </c>
      <c r="AQ97" s="34" t="str">
        <f>D97</f>
        <v>nástupiště - hradby</v>
      </c>
      <c r="AR97" s="34">
        <f>IF(AP97="ano",((AA97+0.2)*(AB97+0.1)-AA97*AB97)*C97,0)</f>
        <v>0</v>
      </c>
      <c r="AS97" s="34">
        <f>IF(AR97&gt;0.001,(AA97+2*AB97)*C97*1.25,0)</f>
        <v>0</v>
      </c>
      <c r="AT97" t="s">
        <v>184</v>
      </c>
      <c r="AU97" s="13">
        <f>IF(AT97="ano",AK97+$AU$20,0)</f>
        <v>1.52</v>
      </c>
      <c r="AV97" s="34">
        <f>'[1]Mezišachetní úsek'!Y99</f>
        <v>0</v>
      </c>
      <c r="AW97" s="34">
        <f>IF(AT97="ano",AU97*C97*0.1,"není")</f>
        <v>1.120088</v>
      </c>
      <c r="AX97" s="34">
        <f>'[1]Mezišachetní úsek'!AA99</f>
        <v>0</v>
      </c>
      <c r="AY97" s="34"/>
      <c r="AZ97" s="34">
        <f t="shared" si="18"/>
        <v>0</v>
      </c>
      <c r="BA97" s="154" t="str">
        <f>B97</f>
        <v>Š44-Š45</v>
      </c>
      <c r="BD97" s="154" t="str">
        <f t="shared" si="19"/>
        <v>Š44-Š45</v>
      </c>
      <c r="BE97" s="13" t="str">
        <f t="shared" si="20"/>
        <v>nebude</v>
      </c>
      <c r="BF97" s="13">
        <f>IF(BE97="ano",(2*AA97+0.3+2*AB97)*C97*1.2,0)</f>
        <v>0</v>
      </c>
      <c r="BG97" s="13"/>
      <c r="BH97" s="13" t="str">
        <f t="shared" si="21"/>
        <v>nebude</v>
      </c>
      <c r="BI97" s="13">
        <f t="shared" si="22"/>
        <v>0</v>
      </c>
      <c r="BK97" s="13">
        <f>IF(BJ97="ano",AU97*C97,0)</f>
        <v>0</v>
      </c>
      <c r="BL97" t="s">
        <v>184</v>
      </c>
      <c r="BM97">
        <f>IF(BL97="ano",(AA97+AB97*2)*C97,0)</f>
        <v>17.685599999999997</v>
      </c>
    </row>
    <row r="98" spans="2:65" ht="15.75" x14ac:dyDescent="0.25">
      <c r="B98" s="401"/>
      <c r="F98" s="415">
        <f t="shared" si="14"/>
        <v>0</v>
      </c>
      <c r="G98" s="416">
        <f t="shared" si="15"/>
        <v>0</v>
      </c>
      <c r="H98" s="416"/>
      <c r="I98" s="416"/>
      <c r="J98" s="416"/>
      <c r="K98" s="416">
        <f t="shared" si="23"/>
        <v>0</v>
      </c>
      <c r="L98" s="72">
        <f>'Mezišachetní úsek'!H100</f>
        <v>0</v>
      </c>
      <c r="M98" s="72">
        <f>'Mezišachetní úsek'!I100</f>
        <v>0</v>
      </c>
      <c r="N98" s="72"/>
      <c r="O98" s="72"/>
      <c r="P98" s="416">
        <f t="shared" si="24"/>
        <v>0</v>
      </c>
      <c r="Q98" s="72">
        <f>'Mezišachetní úsek'!J100</f>
        <v>0</v>
      </c>
      <c r="R98" s="72">
        <f>'Mezišachetní úsek'!K100</f>
        <v>0</v>
      </c>
      <c r="S98" s="72">
        <f>'Mezišachetní úsek'!L100</f>
        <v>0</v>
      </c>
      <c r="T98" s="72">
        <f>'Mezišachetní úsek'!M100</f>
        <v>0</v>
      </c>
      <c r="U98" s="72">
        <f>'Mezišachetní úsek'!N100</f>
        <v>0</v>
      </c>
      <c r="V98" s="72">
        <f>'Mezišachetní úsek'!O100</f>
        <v>0</v>
      </c>
      <c r="W98" s="72">
        <f>'Mezišachetní úsek'!P100</f>
        <v>0</v>
      </c>
      <c r="X98" s="72">
        <f>'Mezišachetní úsek'!Q100</f>
        <v>0</v>
      </c>
      <c r="Y98" s="380"/>
      <c r="AA98">
        <f t="shared" si="25"/>
        <v>0</v>
      </c>
      <c r="AB98">
        <f t="shared" si="26"/>
        <v>0</v>
      </c>
      <c r="AC98">
        <f t="shared" si="16"/>
        <v>0</v>
      </c>
      <c r="AD98" s="395"/>
      <c r="AE98" s="396"/>
      <c r="AF98" s="397"/>
      <c r="AG98" s="398">
        <f>L98*0.055*0.055*3.14</f>
        <v>0</v>
      </c>
      <c r="AH98" s="399">
        <f>Q98*0.08*0.08*3.14</f>
        <v>0</v>
      </c>
      <c r="AI98" s="398">
        <f>W98*0.35*0.35</f>
        <v>0</v>
      </c>
      <c r="AJ98" s="397"/>
      <c r="AK98" s="400">
        <f>AA98*AB98</f>
        <v>0</v>
      </c>
      <c r="AL98" s="34">
        <f t="shared" si="17"/>
        <v>0</v>
      </c>
      <c r="AM98" s="34">
        <f>(AK98-AL98)*C98</f>
        <v>0</v>
      </c>
      <c r="AN98" s="235"/>
      <c r="AO98" s="34">
        <f>IF(AN98="ano",(2*AA98+0.3+2*AB98)*C98*1.2,0)</f>
        <v>0</v>
      </c>
      <c r="AP98" s="34" t="s">
        <v>249</v>
      </c>
      <c r="AQ98" s="34">
        <f>D98</f>
        <v>0</v>
      </c>
      <c r="AR98" s="34">
        <f>IF(AP98="ano",((AA98+0.2)*(AB98+0.1)-AA98*AB98)*C98,0)</f>
        <v>0</v>
      </c>
      <c r="AS98" s="34">
        <f>IF(AR98&gt;0.001,(AA98+2*AB98)*C98*1.25,0)</f>
        <v>0</v>
      </c>
      <c r="AU98" s="13">
        <f>IF(AT98="ano",AK98+$AU$20,0)</f>
        <v>0</v>
      </c>
      <c r="AV98" s="34">
        <f>'[1]Mezišachetní úsek'!Y100</f>
        <v>0</v>
      </c>
      <c r="AW98" s="34" t="str">
        <f>IF(AT98="ano",AU98*C98*0.1,"není")</f>
        <v>není</v>
      </c>
      <c r="AX98" s="34">
        <f>'[1]Mezišachetní úsek'!AA100</f>
        <v>0</v>
      </c>
      <c r="AY98" s="34"/>
      <c r="AZ98" s="34">
        <f t="shared" si="18"/>
        <v>0</v>
      </c>
      <c r="BA98" s="154">
        <f>B98</f>
        <v>0</v>
      </c>
      <c r="BD98" s="154">
        <f t="shared" si="19"/>
        <v>0</v>
      </c>
      <c r="BE98" s="13">
        <f t="shared" si="20"/>
        <v>0</v>
      </c>
      <c r="BF98" s="13">
        <f>IF(BE98="ano",(2*AA98+0.3+2*AB98)*C98*1.2,0)</f>
        <v>0</v>
      </c>
      <c r="BG98" s="13"/>
      <c r="BH98" s="13">
        <f t="shared" si="21"/>
        <v>0</v>
      </c>
      <c r="BI98" s="13">
        <f t="shared" si="22"/>
        <v>0</v>
      </c>
      <c r="BK98" s="13">
        <f>IF(BJ98="ano",AU98*C98,0)</f>
        <v>0</v>
      </c>
      <c r="BM98">
        <f>IF(BL98="ano",(AA98+AB98*2)*C98,0)</f>
        <v>0</v>
      </c>
    </row>
    <row r="99" spans="2:65" x14ac:dyDescent="0.25"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</row>
    <row r="100" spans="2:65" x14ac:dyDescent="0.25"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</row>
    <row r="101" spans="2:65" x14ac:dyDescent="0.25"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</row>
    <row r="102" spans="2:65" x14ac:dyDescent="0.25"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</row>
    <row r="103" spans="2:65" x14ac:dyDescent="0.25"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</row>
  </sheetData>
  <mergeCells count="6">
    <mergeCell ref="K8:T8"/>
    <mergeCell ref="K9:T9"/>
    <mergeCell ref="K4:T4"/>
    <mergeCell ref="K5:T5"/>
    <mergeCell ref="K6:T6"/>
    <mergeCell ref="K7:T7"/>
  </mergeCells>
  <pageMargins left="0.31496062992125984" right="0" top="0.78740157480314965" bottom="0.78740157480314965" header="0.31496062992125984" footer="0.31496062992125984"/>
  <pageSetup paperSize="9" scale="2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83368-E85C-4566-8B42-F7F0F6D3F4FE}">
  <sheetPr>
    <pageSetUpPr fitToPage="1"/>
  </sheetPr>
  <dimension ref="C1:AX83"/>
  <sheetViews>
    <sheetView tabSelected="1" topLeftCell="A49" zoomScaleNormal="100" workbookViewId="0">
      <selection activeCell="AF21" sqref="AF21:AX76"/>
    </sheetView>
  </sheetViews>
  <sheetFormatPr defaultRowHeight="15" x14ac:dyDescent="0.25"/>
  <cols>
    <col min="3" max="3" width="5.85546875" bestFit="1" customWidth="1"/>
    <col min="4" max="5" width="5.5703125" bestFit="1" customWidth="1"/>
    <col min="6" max="6" width="6.5703125" bestFit="1" customWidth="1"/>
    <col min="7" max="7" width="5.5703125" bestFit="1" customWidth="1"/>
    <col min="8" max="8" width="6.5703125" bestFit="1" customWidth="1"/>
    <col min="9" max="9" width="5.5703125" bestFit="1" customWidth="1"/>
    <col min="10" max="10" width="6.5703125" bestFit="1" customWidth="1"/>
    <col min="11" max="11" width="5.5703125" bestFit="1" customWidth="1"/>
    <col min="12" max="12" width="16.5703125" bestFit="1" customWidth="1"/>
    <col min="13" max="13" width="12.85546875" bestFit="1" customWidth="1"/>
    <col min="14" max="14" width="5.5703125" bestFit="1" customWidth="1"/>
    <col min="15" max="15" width="10.5703125" bestFit="1" customWidth="1"/>
    <col min="16" max="16" width="5" bestFit="1" customWidth="1"/>
    <col min="17" max="17" width="4.5703125" bestFit="1" customWidth="1"/>
    <col min="18" max="18" width="5.140625" bestFit="1" customWidth="1"/>
    <col min="19" max="19" width="4.5703125" bestFit="1" customWidth="1"/>
    <col min="20" max="20" width="5.5703125" bestFit="1" customWidth="1"/>
    <col min="21" max="21" width="9" customWidth="1"/>
    <col min="22" max="22" width="5.5703125" bestFit="1" customWidth="1"/>
    <col min="23" max="25" width="4.5703125" bestFit="1" customWidth="1"/>
    <col min="26" max="26" width="7.7109375" bestFit="1" customWidth="1"/>
    <col min="27" max="27" width="5.5703125" bestFit="1" customWidth="1"/>
    <col min="28" max="28" width="7.7109375" bestFit="1" customWidth="1"/>
    <col min="29" max="29" width="8.28515625" bestFit="1" customWidth="1"/>
    <col min="30" max="30" width="9.5703125" customWidth="1"/>
    <col min="31" max="31" width="11.42578125" customWidth="1"/>
    <col min="32" max="32" width="5.5703125" bestFit="1" customWidth="1"/>
    <col min="33" max="34" width="8.28515625" bestFit="1" customWidth="1"/>
    <col min="35" max="35" width="7.85546875" customWidth="1"/>
    <col min="42" max="42" width="10.7109375" customWidth="1"/>
    <col min="45" max="45" width="10.85546875" customWidth="1"/>
    <col min="50" max="50" width="12.140625" customWidth="1"/>
  </cols>
  <sheetData>
    <row r="1" spans="3:35" ht="15.75" thickBot="1" x14ac:dyDescent="0.3"/>
    <row r="2" spans="3:35" ht="31.5" customHeight="1" x14ac:dyDescent="0.25">
      <c r="T2" s="461"/>
      <c r="U2" s="462"/>
      <c r="V2" s="462"/>
      <c r="W2" s="462"/>
      <c r="X2" s="462"/>
      <c r="Y2" s="462"/>
      <c r="Z2" s="463"/>
      <c r="AA2" s="463"/>
    </row>
    <row r="3" spans="3:35" ht="31.5" customHeight="1" x14ac:dyDescent="0.3">
      <c r="T3" s="451"/>
      <c r="U3" s="464"/>
      <c r="V3" s="464"/>
      <c r="W3" s="464"/>
      <c r="X3" s="464"/>
      <c r="Y3" s="464"/>
      <c r="Z3" s="452"/>
      <c r="AA3" s="452"/>
      <c r="AC3" s="2"/>
      <c r="AD3" s="2"/>
      <c r="AE3" s="423"/>
    </row>
    <row r="4" spans="3:35" ht="31.5" customHeight="1" x14ac:dyDescent="0.3">
      <c r="C4" s="8"/>
      <c r="D4" s="327"/>
      <c r="E4" s="327"/>
      <c r="F4" s="59"/>
      <c r="G4" s="59"/>
      <c r="H4" s="59"/>
      <c r="I4" s="59"/>
      <c r="O4" s="18"/>
      <c r="Q4" t="s">
        <v>393</v>
      </c>
      <c r="T4" s="451" t="s">
        <v>312</v>
      </c>
      <c r="U4" s="464"/>
      <c r="V4" s="464"/>
      <c r="W4" s="464"/>
      <c r="X4" s="464"/>
      <c r="Y4" s="464"/>
      <c r="Z4" s="452"/>
      <c r="AA4" s="452"/>
      <c r="AC4" s="2">
        <f>Z23</f>
        <v>94.582800000000049</v>
      </c>
      <c r="AE4" s="423">
        <f t="shared" ref="AE4:AE9" si="0">AC4+AD4</f>
        <v>94.582800000000049</v>
      </c>
      <c r="AF4" t="s">
        <v>64</v>
      </c>
    </row>
    <row r="5" spans="3:35" ht="31.5" customHeight="1" thickBot="1" x14ac:dyDescent="0.35">
      <c r="C5" s="8"/>
      <c r="D5" s="327"/>
      <c r="E5" s="327"/>
      <c r="F5" s="59"/>
      <c r="G5" s="59"/>
      <c r="H5" s="59"/>
      <c r="I5" s="59"/>
      <c r="Q5" t="s">
        <v>392</v>
      </c>
      <c r="T5" s="447" t="s">
        <v>313</v>
      </c>
      <c r="U5" s="465"/>
      <c r="V5" s="465"/>
      <c r="W5" s="465"/>
      <c r="X5" s="465"/>
      <c r="Y5" s="465"/>
      <c r="Z5" s="448"/>
      <c r="AA5" s="448"/>
      <c r="AC5" s="2">
        <f>AC23</f>
        <v>104.26326729000002</v>
      </c>
      <c r="AE5" s="423">
        <f t="shared" si="0"/>
        <v>104.26326729000002</v>
      </c>
      <c r="AF5" t="s">
        <v>64</v>
      </c>
    </row>
    <row r="6" spans="3:35" ht="31.5" customHeight="1" thickBot="1" x14ac:dyDescent="0.35">
      <c r="C6" s="8"/>
      <c r="D6" s="327"/>
      <c r="E6" s="327"/>
      <c r="F6" s="59"/>
      <c r="G6" s="59"/>
      <c r="H6" s="59"/>
      <c r="I6" s="59"/>
      <c r="Q6" t="s">
        <v>392</v>
      </c>
      <c r="T6" s="466" t="s">
        <v>354</v>
      </c>
      <c r="U6" s="467"/>
      <c r="V6" s="467"/>
      <c r="W6" s="467"/>
      <c r="X6" s="467"/>
      <c r="Y6" s="467"/>
      <c r="Z6" s="468"/>
      <c r="AA6" s="468"/>
      <c r="AB6" s="403"/>
      <c r="AC6" s="424">
        <f>AG23</f>
        <v>609.75200000000041</v>
      </c>
      <c r="AD6" s="424">
        <f>AH23</f>
        <v>673.88200000000006</v>
      </c>
      <c r="AE6" s="425">
        <f t="shared" si="0"/>
        <v>1283.6340000000005</v>
      </c>
      <c r="AF6" s="403" t="s">
        <v>11</v>
      </c>
    </row>
    <row r="7" spans="3:35" ht="31.5" customHeight="1" thickBot="1" x14ac:dyDescent="0.35">
      <c r="C7" s="8"/>
      <c r="D7" s="327"/>
      <c r="E7" s="327"/>
      <c r="F7" s="59"/>
      <c r="G7" s="59"/>
      <c r="H7" s="59"/>
      <c r="I7" s="59"/>
      <c r="T7" s="454" t="s">
        <v>382</v>
      </c>
      <c r="U7" s="455"/>
      <c r="V7" s="455"/>
      <c r="W7" s="455"/>
      <c r="X7" s="455"/>
      <c r="Y7" s="455"/>
      <c r="Z7" s="456"/>
      <c r="AA7" s="456"/>
      <c r="AB7" s="426"/>
      <c r="AC7" s="427">
        <f>AP23</f>
        <v>1382.9145000000001</v>
      </c>
      <c r="AD7" s="426"/>
      <c r="AE7" s="428">
        <f t="shared" si="0"/>
        <v>1382.9145000000001</v>
      </c>
      <c r="AF7" s="426" t="s">
        <v>11</v>
      </c>
    </row>
    <row r="8" spans="3:35" ht="31.5" customHeight="1" thickBot="1" x14ac:dyDescent="0.35">
      <c r="C8" s="8"/>
      <c r="D8" s="327"/>
      <c r="E8" s="327"/>
      <c r="F8" s="59"/>
      <c r="G8" s="59"/>
      <c r="H8" s="59"/>
      <c r="I8" s="59"/>
      <c r="T8" s="457" t="s">
        <v>384</v>
      </c>
      <c r="U8" s="458"/>
      <c r="V8" s="458"/>
      <c r="W8" s="458"/>
      <c r="X8" s="458"/>
      <c r="Y8" s="458"/>
      <c r="Z8" s="459"/>
      <c r="AA8" s="459"/>
      <c r="AB8" s="429"/>
      <c r="AC8" s="430">
        <f>AS23</f>
        <v>2765.8290000000002</v>
      </c>
      <c r="AD8" s="429"/>
      <c r="AE8" s="431">
        <f t="shared" si="0"/>
        <v>2765.8290000000002</v>
      </c>
      <c r="AF8" s="429" t="s">
        <v>11</v>
      </c>
    </row>
    <row r="9" spans="3:35" ht="31.5" customHeight="1" thickBot="1" x14ac:dyDescent="0.35">
      <c r="C9" s="8"/>
      <c r="D9" s="327"/>
      <c r="E9" s="327"/>
      <c r="F9" s="59"/>
      <c r="G9" s="59"/>
      <c r="H9" s="59"/>
      <c r="I9" s="59"/>
      <c r="T9" s="449" t="s">
        <v>383</v>
      </c>
      <c r="U9" s="460"/>
      <c r="V9" s="460"/>
      <c r="W9" s="460"/>
      <c r="X9" s="460"/>
      <c r="Y9" s="460"/>
      <c r="Z9" s="450"/>
      <c r="AA9" s="450"/>
      <c r="AB9" s="399"/>
      <c r="AC9" s="436">
        <f>AU23</f>
        <v>647.86098959999993</v>
      </c>
      <c r="AD9" s="436">
        <f>AX23</f>
        <v>1419.4692292</v>
      </c>
      <c r="AE9" s="437">
        <f t="shared" si="0"/>
        <v>2067.3302187999998</v>
      </c>
      <c r="AF9" s="399" t="s">
        <v>11</v>
      </c>
    </row>
    <row r="10" spans="3:35" ht="31.5" customHeight="1" thickBot="1" x14ac:dyDescent="0.3">
      <c r="C10" s="8"/>
      <c r="D10" s="10"/>
      <c r="I10" s="34"/>
      <c r="J10" s="35"/>
      <c r="K10" s="35"/>
      <c r="L10" s="35"/>
      <c r="M10" s="35"/>
      <c r="N10" s="35"/>
      <c r="O10" s="34"/>
    </row>
    <row r="11" spans="3:35" ht="138.75" customHeight="1" thickBot="1" x14ac:dyDescent="0.3">
      <c r="C11" s="8"/>
      <c r="D11" s="10"/>
      <c r="I11" s="34"/>
      <c r="J11" s="35"/>
      <c r="K11" s="35"/>
      <c r="L11" s="35"/>
      <c r="M11" s="328" t="s">
        <v>314</v>
      </c>
      <c r="N11" s="35"/>
      <c r="O11" s="328" t="s">
        <v>314</v>
      </c>
    </row>
    <row r="12" spans="3:35" s="335" customFormat="1" ht="228.75" customHeight="1" thickBot="1" x14ac:dyDescent="0.3">
      <c r="C12" s="329" t="s">
        <v>315</v>
      </c>
      <c r="D12" s="329" t="s">
        <v>315</v>
      </c>
      <c r="E12" s="329" t="s">
        <v>315</v>
      </c>
      <c r="F12" s="329" t="s">
        <v>315</v>
      </c>
      <c r="G12" s="329" t="s">
        <v>315</v>
      </c>
      <c r="H12" s="329" t="s">
        <v>315</v>
      </c>
      <c r="I12" s="329" t="s">
        <v>315</v>
      </c>
      <c r="J12" s="329" t="s">
        <v>315</v>
      </c>
      <c r="K12" s="330"/>
      <c r="L12" s="329" t="s">
        <v>315</v>
      </c>
      <c r="M12" s="329" t="s">
        <v>315</v>
      </c>
      <c r="N12" s="329" t="s">
        <v>315</v>
      </c>
      <c r="O12" s="329" t="s">
        <v>315</v>
      </c>
      <c r="P12" s="329" t="s">
        <v>315</v>
      </c>
      <c r="Q12" s="329" t="s">
        <v>315</v>
      </c>
      <c r="R12" s="329" t="s">
        <v>315</v>
      </c>
      <c r="S12" s="329"/>
      <c r="T12" s="329" t="s">
        <v>315</v>
      </c>
      <c r="U12" s="329"/>
      <c r="V12" s="332" t="s">
        <v>316</v>
      </c>
      <c r="W12" s="404"/>
      <c r="X12" s="404"/>
      <c r="Y12" s="404"/>
      <c r="Z12" s="331" t="s">
        <v>315</v>
      </c>
      <c r="AA12" s="332"/>
      <c r="AB12" s="331" t="s">
        <v>315</v>
      </c>
      <c r="AC12" s="333" t="s">
        <v>317</v>
      </c>
      <c r="AD12" s="334"/>
      <c r="AE12" s="333"/>
      <c r="AG12" s="334" t="s">
        <v>317</v>
      </c>
      <c r="AH12" s="329"/>
      <c r="AI12" s="406"/>
    </row>
    <row r="13" spans="3:35" ht="16.5" thickBot="1" x14ac:dyDescent="0.3">
      <c r="C13" s="8"/>
      <c r="D13" s="10"/>
      <c r="I13" s="34"/>
      <c r="J13" s="35"/>
      <c r="K13" s="35"/>
      <c r="L13" s="35"/>
      <c r="M13" s="35"/>
      <c r="N13" s="35"/>
      <c r="O13" s="34"/>
      <c r="V13" s="336"/>
      <c r="W13" s="405"/>
      <c r="X13" s="405"/>
      <c r="Y13" s="405"/>
      <c r="AA13" s="336"/>
    </row>
    <row r="14" spans="3:35" ht="15.75" x14ac:dyDescent="0.25">
      <c r="C14" s="8"/>
      <c r="D14" s="10"/>
      <c r="I14" s="34"/>
      <c r="J14" s="35"/>
      <c r="K14" s="35"/>
      <c r="L14" s="35"/>
      <c r="M14" s="35"/>
      <c r="N14" s="35"/>
      <c r="O14" s="34"/>
    </row>
    <row r="18" spans="3:50" x14ac:dyDescent="0.25"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S18" s="337"/>
      <c r="T18" s="337"/>
      <c r="U18" s="337"/>
      <c r="V18" s="337"/>
      <c r="W18" s="337"/>
      <c r="X18" s="337"/>
      <c r="Y18" s="337"/>
      <c r="Z18" s="337"/>
      <c r="AA18" s="337"/>
      <c r="AB18" s="337"/>
      <c r="AC18" s="337"/>
      <c r="AD18" s="337"/>
      <c r="AE18" s="337"/>
      <c r="AF18" s="337"/>
      <c r="AG18" s="337"/>
      <c r="AH18" s="337"/>
      <c r="AI18" s="337"/>
    </row>
    <row r="19" spans="3:50" x14ac:dyDescent="0.25">
      <c r="C19" s="337"/>
      <c r="D19" s="337"/>
      <c r="E19" s="337"/>
      <c r="F19" s="337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S19" s="337"/>
      <c r="T19" s="337"/>
      <c r="U19" s="337"/>
      <c r="V19" s="337"/>
      <c r="W19" s="337"/>
      <c r="X19" s="337"/>
      <c r="Y19" s="337"/>
      <c r="Z19" s="337"/>
      <c r="AA19" s="337"/>
      <c r="AB19" s="337"/>
      <c r="AC19" s="337"/>
      <c r="AD19" s="337"/>
      <c r="AE19" s="337"/>
      <c r="AF19" s="337"/>
      <c r="AG19" s="337"/>
      <c r="AH19" s="337"/>
      <c r="AI19" s="337"/>
    </row>
    <row r="20" spans="3:50" ht="15.75" thickBot="1" x14ac:dyDescent="0.3">
      <c r="D20" s="2">
        <f>SUM(D24:D84)</f>
        <v>33</v>
      </c>
      <c r="E20" s="2">
        <f>SUM(E24:E84)</f>
        <v>16</v>
      </c>
      <c r="F20" s="2">
        <f>SUM(F24:F84)</f>
        <v>101.098</v>
      </c>
      <c r="G20" s="2">
        <f t="shared" ref="G20:I20" si="1">SUM(G24:G84)</f>
        <v>83.963999999999999</v>
      </c>
      <c r="H20" s="2">
        <f t="shared" si="1"/>
        <v>122.24999999999991</v>
      </c>
      <c r="I20" s="2">
        <f t="shared" si="1"/>
        <v>10.999999999999993</v>
      </c>
      <c r="J20" s="2">
        <f>SUM(J24:J84)</f>
        <v>528.11443130000009</v>
      </c>
      <c r="K20" s="2">
        <f t="shared" ref="K20:AF20" si="2">SUM(K24:K84)</f>
        <v>17.217926400000003</v>
      </c>
      <c r="L20" s="2">
        <f t="shared" si="2"/>
        <v>0</v>
      </c>
      <c r="M20" s="2">
        <f t="shared" si="2"/>
        <v>0</v>
      </c>
      <c r="N20" s="2">
        <f t="shared" si="2"/>
        <v>51</v>
      </c>
      <c r="O20" s="2">
        <f t="shared" si="2"/>
        <v>0</v>
      </c>
      <c r="P20" s="2">
        <f t="shared" si="2"/>
        <v>0</v>
      </c>
      <c r="Q20" s="2">
        <f t="shared" si="2"/>
        <v>0</v>
      </c>
      <c r="R20" s="2">
        <f t="shared" si="2"/>
        <v>0</v>
      </c>
      <c r="S20" s="2"/>
      <c r="T20" s="2">
        <f t="shared" si="2"/>
        <v>17</v>
      </c>
      <c r="U20" s="2"/>
      <c r="V20" s="2"/>
      <c r="W20" s="2"/>
      <c r="X20" s="2"/>
      <c r="Y20" s="2"/>
      <c r="Z20" s="2">
        <f t="shared" si="2"/>
        <v>87.984000000000052</v>
      </c>
      <c r="AA20" s="2"/>
      <c r="AB20" s="2">
        <f t="shared" si="2"/>
        <v>6.5500000000000016</v>
      </c>
      <c r="AC20" s="2">
        <f t="shared" si="2"/>
        <v>99.298349800000011</v>
      </c>
      <c r="AD20" s="2"/>
      <c r="AE20" s="2"/>
      <c r="AF20" s="2">
        <f t="shared" si="2"/>
        <v>33</v>
      </c>
      <c r="AG20" s="2"/>
      <c r="AH20" s="2"/>
      <c r="AI20" s="2"/>
    </row>
    <row r="21" spans="3:50" ht="219" customHeight="1" thickBot="1" x14ac:dyDescent="0.3">
      <c r="C21" s="338" t="str">
        <f>[1]Šachty!F17</f>
        <v>Šachta</v>
      </c>
      <c r="D21" s="338" t="str">
        <f>[1]Šachty!G17</f>
        <v>Betonová 
šachta</v>
      </c>
      <c r="E21" s="338" t="str">
        <f>[1]Šachty!I17</f>
        <v>Plasto
vé 
šachta</v>
      </c>
      <c r="F21" s="338" t="str">
        <f>[1]Šachty!J17</f>
        <v>Šířka</v>
      </c>
      <c r="G21" s="338" t="str">
        <f>[1]Šachty!K17</f>
        <v>Délka</v>
      </c>
      <c r="H21" s="338" t="str">
        <f>[1]Šachty!L17</f>
        <v>Výška</v>
      </c>
      <c r="I21" s="338" t="str">
        <f>[1]Šachty!N17</f>
        <v>Výška 
komínků</v>
      </c>
      <c r="J21" s="338" t="str">
        <f>[1]Šachty!O17</f>
        <v>Objem
šachty
bez krčku</v>
      </c>
      <c r="K21" s="339" t="s">
        <v>344</v>
      </c>
      <c r="L21" s="338" t="str">
        <f>[1]Šachty!Q17</f>
        <v>Poklop</v>
      </c>
      <c r="M21" s="328" t="s">
        <v>318</v>
      </c>
      <c r="N21" s="338" t="str">
        <f>[1]Šachty!S17</f>
        <v>počet
 poklopů</v>
      </c>
      <c r="O21" s="328" t="s">
        <v>319</v>
      </c>
      <c r="P21" s="338" t="str">
        <f>[1]Šachty!W17</f>
        <v>IZOLACE ŠACHET</v>
      </c>
      <c r="Q21" s="338">
        <f>[1]Šachty!Y17</f>
        <v>0</v>
      </c>
      <c r="R21" s="338" t="str">
        <f>[1]Šachty!AB17</f>
        <v>OCHRANA ŠACHET</v>
      </c>
      <c r="S21" s="338"/>
      <c r="T21" s="339" t="s">
        <v>344</v>
      </c>
      <c r="U21" s="338"/>
      <c r="V21" s="336" t="s">
        <v>348</v>
      </c>
      <c r="W21" s="336" t="s">
        <v>349</v>
      </c>
      <c r="X21" s="336"/>
      <c r="Y21" s="336"/>
      <c r="Z21" s="340" t="s">
        <v>350</v>
      </c>
      <c r="AA21" s="336"/>
      <c r="AB21" s="340" t="s">
        <v>351</v>
      </c>
      <c r="AC21" s="344" t="s">
        <v>320</v>
      </c>
      <c r="AD21" s="342"/>
      <c r="AE21" s="338"/>
      <c r="AF21" s="338"/>
      <c r="AG21" s="342"/>
      <c r="AH21" s="338"/>
      <c r="AI21" s="407"/>
    </row>
    <row r="22" spans="3:50" ht="201.75" customHeight="1" thickBot="1" x14ac:dyDescent="0.3">
      <c r="C22" s="338">
        <f>[1]Šachty!F18</f>
        <v>0</v>
      </c>
      <c r="D22" s="345">
        <f>[1]Šachty!G18</f>
        <v>34</v>
      </c>
      <c r="E22" s="338">
        <f>[1]Šachty!I18</f>
        <v>19</v>
      </c>
      <c r="F22" s="338">
        <f>[1]Šachty!J18</f>
        <v>0</v>
      </c>
      <c r="G22" s="338">
        <f>[1]Šachty!K18</f>
        <v>0</v>
      </c>
      <c r="H22" s="338">
        <f>[1]Šachty!L18</f>
        <v>0</v>
      </c>
      <c r="I22" s="338">
        <f>[1]Šachty!N18</f>
        <v>0</v>
      </c>
      <c r="J22" s="338">
        <f>[1]Šachty!O18</f>
        <v>0</v>
      </c>
      <c r="K22" s="339"/>
      <c r="L22" s="338">
        <f>[1]Šachty!Q18</f>
        <v>0</v>
      </c>
      <c r="M22" s="338">
        <f>[1]Šachty!R18</f>
        <v>0</v>
      </c>
      <c r="N22" s="338">
        <f>[1]Šachty!S18</f>
        <v>0</v>
      </c>
      <c r="O22" s="338">
        <f>[1]Šachty!T18</f>
        <v>0</v>
      </c>
      <c r="P22" s="338" t="str">
        <f>[1]Šachty!W18</f>
        <v>ASF 
NÁTĚR</v>
      </c>
      <c r="Q22" s="338" t="str">
        <f>[1]Šachty!Y18</f>
        <v>ASF. 
PÁSY 2x</v>
      </c>
      <c r="R22" s="338" t="str">
        <f>[1]Šachty!AB18</f>
        <v>Geotextilie</v>
      </c>
      <c r="S22" s="338" t="s">
        <v>355</v>
      </c>
      <c r="T22" s="339" t="str">
        <f>[1]Šachty!AE18</f>
        <v>obetonování 
izolace
(šachet)</v>
      </c>
      <c r="U22" s="338"/>
      <c r="V22" s="336">
        <v>0.1</v>
      </c>
      <c r="W22" s="336"/>
      <c r="X22" s="336" t="s">
        <v>357</v>
      </c>
      <c r="Y22" s="336" t="s">
        <v>356</v>
      </c>
      <c r="Z22" s="346">
        <v>0.1</v>
      </c>
      <c r="AA22" s="336" t="s">
        <v>352</v>
      </c>
      <c r="AB22" s="346" t="s">
        <v>321</v>
      </c>
      <c r="AC22" s="341" t="s">
        <v>322</v>
      </c>
      <c r="AD22" s="347"/>
      <c r="AE22" s="343"/>
      <c r="AF22" s="338" t="s">
        <v>323</v>
      </c>
      <c r="AG22" s="347" t="s">
        <v>391</v>
      </c>
      <c r="AH22" s="338" t="s">
        <v>353</v>
      </c>
      <c r="AI22" s="407"/>
      <c r="AN22" s="338" t="str">
        <f>P22</f>
        <v>ASF 
NÁTĚR</v>
      </c>
      <c r="AO22" s="338" t="s">
        <v>385</v>
      </c>
      <c r="AP22" s="338" t="s">
        <v>385</v>
      </c>
      <c r="AQ22" s="338"/>
      <c r="AR22" s="432" t="str">
        <f t="shared" ref="AR22" si="3">Q22</f>
        <v>ASF. 
PÁSY 2x</v>
      </c>
      <c r="AS22" s="432" t="s">
        <v>386</v>
      </c>
      <c r="AT22" s="434" t="s">
        <v>380</v>
      </c>
      <c r="AU22" s="434" t="s">
        <v>380</v>
      </c>
      <c r="AV22" s="434" t="s">
        <v>381</v>
      </c>
      <c r="AW22" s="434" t="s">
        <v>387</v>
      </c>
      <c r="AX22" s="434" t="s">
        <v>381</v>
      </c>
    </row>
    <row r="23" spans="3:50" ht="17.25" x14ac:dyDescent="0.3">
      <c r="C23">
        <f>[1]Šachty!F19</f>
        <v>0</v>
      </c>
      <c r="D23">
        <f>[1]Šachty!G19</f>
        <v>0</v>
      </c>
      <c r="E23">
        <f>[1]Šachty!I19</f>
        <v>0</v>
      </c>
      <c r="F23">
        <f>[1]Šachty!J19</f>
        <v>0</v>
      </c>
      <c r="G23">
        <f>[1]Šachty!K19</f>
        <v>0</v>
      </c>
      <c r="H23">
        <f>[1]Šachty!L19</f>
        <v>0</v>
      </c>
      <c r="I23">
        <f>[1]Šachty!N19</f>
        <v>0</v>
      </c>
      <c r="J23">
        <f>[1]Šachty!O19</f>
        <v>0</v>
      </c>
      <c r="L23">
        <f>[1]Šachty!Q19</f>
        <v>0</v>
      </c>
      <c r="M23">
        <f>[1]Šachty!R19</f>
        <v>0</v>
      </c>
      <c r="N23">
        <f>[1]Šachty!S19</f>
        <v>0</v>
      </c>
      <c r="O23">
        <f>[1]Šachty!T19</f>
        <v>0</v>
      </c>
      <c r="P23">
        <f>[1]Šachty!W19</f>
        <v>0</v>
      </c>
      <c r="Q23">
        <f>[1]Šachty!Y19</f>
        <v>0</v>
      </c>
      <c r="R23">
        <f>[1]Šachty!AB19</f>
        <v>0</v>
      </c>
      <c r="T23">
        <f>[1]Šachty!AE19</f>
        <v>0</v>
      </c>
      <c r="V23" s="325"/>
      <c r="Z23" s="325">
        <f>SUM(Z24:Z84)*1.075</f>
        <v>94.582800000000049</v>
      </c>
      <c r="AB23" s="325"/>
      <c r="AC23" s="325">
        <f>SUM(AC24:AC84)*1.05</f>
        <v>104.26326729000002</v>
      </c>
      <c r="AD23" s="326"/>
      <c r="AE23" s="2"/>
      <c r="AF23">
        <f>[1]Šachty!AO19</f>
        <v>0</v>
      </c>
      <c r="AG23" s="326">
        <f>SUM(AG24:AG84)*1.1</f>
        <v>609.75200000000041</v>
      </c>
      <c r="AH23" s="326">
        <f>SUM(AH24:AH84)*1.1</f>
        <v>673.88200000000006</v>
      </c>
      <c r="AI23" s="348"/>
      <c r="AP23" s="326">
        <f>SUM(AP24:AP84)*1.1</f>
        <v>1382.9145000000001</v>
      </c>
      <c r="AR23" s="429"/>
      <c r="AS23" s="433">
        <f>SUM(AS24:AS84)*1.1</f>
        <v>2765.8290000000002</v>
      </c>
      <c r="AT23" s="399"/>
      <c r="AU23" s="435">
        <f>SUM(AU24:AU84)*1.1</f>
        <v>647.86098959999993</v>
      </c>
      <c r="AV23" s="399"/>
      <c r="AW23" s="399"/>
      <c r="AX23" s="435">
        <f>SUM(AX24:AX84)*1.1</f>
        <v>1419.4692292</v>
      </c>
    </row>
    <row r="24" spans="3:50" ht="15.75" x14ac:dyDescent="0.25">
      <c r="C24" s="90"/>
      <c r="AB24" s="34"/>
      <c r="AD24" s="2"/>
      <c r="AE24" s="2"/>
      <c r="AG24" s="34"/>
      <c r="AH24" s="34"/>
      <c r="AI24" s="34"/>
      <c r="AJ24" s="90"/>
    </row>
    <row r="25" spans="3:50" ht="15.75" x14ac:dyDescent="0.25">
      <c r="C25" s="90"/>
      <c r="AB25" s="34"/>
      <c r="AD25" s="2"/>
      <c r="AE25" s="2"/>
      <c r="AG25" s="34"/>
      <c r="AH25" s="34"/>
      <c r="AI25" s="34"/>
      <c r="AJ25" s="90"/>
    </row>
    <row r="26" spans="3:50" ht="15.75" x14ac:dyDescent="0.25">
      <c r="C26" s="90" t="str">
        <f>Šachty!J22</f>
        <v>Š05</v>
      </c>
      <c r="L26" t="str">
        <f>[1]Šachty!Q22</f>
        <v>Beton / Kompozit</v>
      </c>
      <c r="M26" t="str">
        <f>[1]Šachty!R22</f>
        <v>0,6x0,9</v>
      </c>
      <c r="N26">
        <f>[1]Šachty!S22</f>
        <v>1</v>
      </c>
      <c r="O26" t="s">
        <v>216</v>
      </c>
      <c r="Q26" t="s">
        <v>249</v>
      </c>
      <c r="R26" t="s">
        <v>249</v>
      </c>
      <c r="S26" t="s">
        <v>249</v>
      </c>
      <c r="T26">
        <f>IF(Šachty!AO22="ano",IF(S26="ano",1,0),0)</f>
        <v>0</v>
      </c>
      <c r="AB26" s="34"/>
      <c r="AD26" s="2"/>
      <c r="AE26" s="2"/>
      <c r="AF26" t="str">
        <f>IF(D26=1,1,"ne")</f>
        <v>ne</v>
      </c>
      <c r="AG26" s="34"/>
      <c r="AH26" s="34"/>
      <c r="AI26" s="34"/>
      <c r="AJ26" s="90" t="str">
        <f t="shared" ref="AJ26:AJ57" si="4">C26</f>
        <v>Š05</v>
      </c>
      <c r="AM26" s="90" t="str">
        <f>C26</f>
        <v>Š05</v>
      </c>
      <c r="AN26">
        <f>P26</f>
        <v>0</v>
      </c>
      <c r="AP26">
        <f>AO26*((F26+0.3)*(G26+0.3)+F26*G26+2*(F26*H26+G26*H26))</f>
        <v>0</v>
      </c>
      <c r="AR26" t="str">
        <f t="shared" ref="AR26" si="5">Q26</f>
        <v>ne</v>
      </c>
      <c r="AS26">
        <f>AP26*2</f>
        <v>0</v>
      </c>
      <c r="AT26" t="str">
        <f>R26</f>
        <v>ne</v>
      </c>
      <c r="AU26">
        <f>IF(AT26="ano",AA26,0)</f>
        <v>0</v>
      </c>
      <c r="AW26">
        <f>(F26+0.3)*(G26+0.3)+F26*G26+2*(F26*H26+G26*H26)</f>
        <v>0.09</v>
      </c>
      <c r="AX26">
        <f>IF(AV26="ano",AW26,0)</f>
        <v>0</v>
      </c>
    </row>
    <row r="27" spans="3:50" ht="15.75" x14ac:dyDescent="0.25">
      <c r="C27" s="90" t="str">
        <f>Šachty!J23</f>
        <v>Š06</v>
      </c>
      <c r="D27" s="47">
        <f>Šachty!K23</f>
        <v>1</v>
      </c>
      <c r="E27" s="47">
        <f>Šachty!M23</f>
        <v>0</v>
      </c>
      <c r="F27" s="34">
        <f>Šachty!N23</f>
        <v>3</v>
      </c>
      <c r="G27" s="34">
        <f>Šachty!O23</f>
        <v>1.6</v>
      </c>
      <c r="H27" s="34">
        <f>Šachty!P23</f>
        <v>3.5</v>
      </c>
      <c r="I27" s="34">
        <f>Šachty!R23</f>
        <v>0.3</v>
      </c>
      <c r="J27" s="34">
        <f>F27*G27*H27</f>
        <v>16.800000000000004</v>
      </c>
      <c r="K27" s="34">
        <f>Šachty!S23-J27</f>
        <v>0</v>
      </c>
      <c r="L27" t="str">
        <f>Šachty!X23</f>
        <v>Beton / Kompozit</v>
      </c>
      <c r="M27" t="str">
        <f>Šachty!Y23</f>
        <v>ŽB. šachta</v>
      </c>
      <c r="N27">
        <f>Šachty!Z23</f>
        <v>2</v>
      </c>
      <c r="O27" t="str">
        <f>Šachty!AA23</f>
        <v>Terén</v>
      </c>
      <c r="P27" s="34" t="str">
        <f>Šachty!AE23</f>
        <v>Ano</v>
      </c>
      <c r="Q27" s="47" t="str">
        <f>Šachty!AI23</f>
        <v>Ano</v>
      </c>
      <c r="R27" t="str">
        <f>Šachty!AL23</f>
        <v>ANO</v>
      </c>
      <c r="S27" t="s">
        <v>217</v>
      </c>
      <c r="T27">
        <f>IF(Šachty!AO23="ano",IF(S27="ano",1,0),0)</f>
        <v>1</v>
      </c>
      <c r="V27" s="34">
        <f>IF(S27="ano",(F27+2*$V$22)*(G27+2*$V$22)*(H27+$V$22),IF(M27="pro pl. šachtu",J27+1.25,0))</f>
        <v>20.736000000000004</v>
      </c>
      <c r="W27" s="34">
        <f t="shared" ref="W27:W58" si="6">N27*((1+2*$V$22)*(1.3+2*$V$22)*I27-(1*1.3*I27))</f>
        <v>0.29999999999999982</v>
      </c>
      <c r="X27" s="34">
        <f>IF(S27="ne",0,(V27-J27+W27)*D27)</f>
        <v>4.2359999999999998</v>
      </c>
      <c r="Y27" s="34">
        <f>IF(E27=1,1.25,0)</f>
        <v>0</v>
      </c>
      <c r="Z27" s="34">
        <f>X27+Y27</f>
        <v>4.2359999999999998</v>
      </c>
      <c r="AA27" s="34">
        <f t="shared" ref="AA27:AA58" si="7">IF(D27=1,(F27+2)*(G27+2),IF(E27=1,(F27+1.5)*(G27+1.5),0))</f>
        <v>18</v>
      </c>
      <c r="AB27" s="34">
        <f t="shared" ref="AB27:AB58" si="8">IF(D27=1,0.15,IF(E27=1,0.1,0))</f>
        <v>0.15</v>
      </c>
      <c r="AC27" s="34">
        <f>AA27*AB27</f>
        <v>2.6999999999999997</v>
      </c>
      <c r="AD27" s="2"/>
      <c r="AE27" s="2"/>
      <c r="AF27">
        <f t="shared" ref="AF27:AF58" si="9">IF(D27=1,1,0)</f>
        <v>1</v>
      </c>
      <c r="AG27" s="34">
        <f>(F27+1.9)*(G27+1.9)*AF27</f>
        <v>17.150000000000002</v>
      </c>
      <c r="AH27" s="34">
        <f>IF(T27=1,(F27*G27)+2*(F27*H27+G27*H27),0)</f>
        <v>37</v>
      </c>
      <c r="AI27" s="34"/>
      <c r="AJ27" s="90" t="str">
        <f t="shared" si="4"/>
        <v>Š06</v>
      </c>
      <c r="AM27" s="90" t="str">
        <f t="shared" ref="AM27:AM81" si="10">C27</f>
        <v>Š06</v>
      </c>
      <c r="AN27" s="34" t="str">
        <f>P27</f>
        <v>Ano</v>
      </c>
      <c r="AO27" s="34">
        <f>IF(D27=1,1,0)</f>
        <v>1</v>
      </c>
      <c r="AP27">
        <f>AO27*((F27+0.3)*(G27+0.3)+F27*G27+2*(F27*H27+G27*H27))</f>
        <v>43.27</v>
      </c>
      <c r="AR27" t="str">
        <f t="shared" ref="AR27:AR28" si="11">Q27</f>
        <v>Ano</v>
      </c>
      <c r="AS27">
        <f>AP27*2</f>
        <v>86.54</v>
      </c>
      <c r="AT27" t="str">
        <f t="shared" ref="AT27:AT28" si="12">R27</f>
        <v>ANO</v>
      </c>
      <c r="AU27">
        <f>IF(AT27="ano",AA27,0)</f>
        <v>18</v>
      </c>
      <c r="AV27" t="s">
        <v>184</v>
      </c>
      <c r="AW27">
        <f t="shared" ref="AW27:AW75" si="13">(F27+0.3)*(G27+0.3)+F27*G27+2*(F27*H27+G27*H27)</f>
        <v>43.27</v>
      </c>
      <c r="AX27">
        <f t="shared" ref="AX27:AX75" si="14">IF(AV27="ano",AW27,0)</f>
        <v>43.27</v>
      </c>
    </row>
    <row r="28" spans="3:50" ht="15.75" x14ac:dyDescent="0.25">
      <c r="C28" s="90" t="str">
        <f>Šachty!J24</f>
        <v>Š06a</v>
      </c>
      <c r="D28" s="47">
        <f>Šachty!K24</f>
        <v>0</v>
      </c>
      <c r="E28" s="47">
        <f>Šachty!M24</f>
        <v>1</v>
      </c>
      <c r="F28" s="34">
        <f>Šachty!N24</f>
        <v>1.4359999999999999</v>
      </c>
      <c r="G28" s="34">
        <f>Šachty!O24</f>
        <v>0.97599999999999998</v>
      </c>
      <c r="H28" s="34">
        <f>Šachty!P24</f>
        <v>1.6</v>
      </c>
      <c r="I28" s="34">
        <f>Šachty!R24</f>
        <v>0</v>
      </c>
      <c r="J28" s="34">
        <f t="shared" ref="J28:J81" si="15">F28*G28*H28</f>
        <v>2.2424575999999998</v>
      </c>
      <c r="K28" s="34">
        <f>Šachty!S24-J28</f>
        <v>0</v>
      </c>
      <c r="L28" t="str">
        <f>Šachty!X24</f>
        <v>kompozit</v>
      </c>
      <c r="M28" t="str">
        <f>Šachty!Y24</f>
        <v>pro pl. šachtu</v>
      </c>
      <c r="N28">
        <f>Šachty!Z24</f>
        <v>1</v>
      </c>
      <c r="O28" t="str">
        <f>Šachty!AA24</f>
        <v>Terén</v>
      </c>
      <c r="P28" s="34" t="str">
        <f>Šachty!AE24</f>
        <v>NE</v>
      </c>
      <c r="Q28" s="47" t="str">
        <f>Šachty!AI24</f>
        <v>NE</v>
      </c>
      <c r="R28" t="str">
        <f>Šachty!AL24</f>
        <v>ANO</v>
      </c>
      <c r="S28" t="s">
        <v>249</v>
      </c>
      <c r="T28">
        <f>IF(Šachty!AO24="ano",IF(S28="ano",1,0),0)</f>
        <v>0</v>
      </c>
      <c r="V28" s="34">
        <f>IF(S28="ano",(F28+2*$V$22)*(G28+2*$V$22)*(H28+$V$22),IF(M28="pro pl. šachtu",J28+1.25,0))</f>
        <v>3.4924575999999998</v>
      </c>
      <c r="W28" s="34">
        <f t="shared" si="6"/>
        <v>0</v>
      </c>
      <c r="X28" s="34">
        <f t="shared" ref="X28:X81" si="16">IF(S28="ne",0,(V28-J28+W28)*D28)</f>
        <v>0</v>
      </c>
      <c r="Y28" s="34">
        <f t="shared" ref="Y28:Y81" si="17">IF(E28=1,1.25,0)</f>
        <v>1.25</v>
      </c>
      <c r="Z28" s="34">
        <f t="shared" ref="Z28:Z81" si="18">X28+Y28</f>
        <v>1.25</v>
      </c>
      <c r="AA28" s="34">
        <f t="shared" si="7"/>
        <v>7.2695359999999996</v>
      </c>
      <c r="AB28" s="34">
        <f t="shared" si="8"/>
        <v>0.1</v>
      </c>
      <c r="AC28" s="34">
        <f t="shared" ref="AC28:AC81" si="19">AA28*AB28</f>
        <v>0.72695359999999998</v>
      </c>
      <c r="AD28" s="2"/>
      <c r="AE28" s="2"/>
      <c r="AF28">
        <f t="shared" si="9"/>
        <v>0</v>
      </c>
      <c r="AG28" s="34">
        <f t="shared" ref="AG28:AG58" si="20">(F28+1.9)*(G28+1.9)*AF28</f>
        <v>0</v>
      </c>
      <c r="AH28" s="34">
        <f t="shared" ref="AH28:AH83" si="21">IF(T28=1,(F28*G28)+2*(F28*H28+G28*H28),0)</f>
        <v>0</v>
      </c>
      <c r="AI28" s="34"/>
      <c r="AJ28" s="90" t="str">
        <f t="shared" si="4"/>
        <v>Š06a</v>
      </c>
      <c r="AM28" s="90" t="str">
        <f t="shared" si="10"/>
        <v>Š06a</v>
      </c>
      <c r="AN28" t="str">
        <f t="shared" ref="AN28:AN77" si="22">P28</f>
        <v>NE</v>
      </c>
      <c r="AO28" s="34">
        <f t="shared" ref="AO28:AO75" si="23">IF(D28=1,1,0)</f>
        <v>0</v>
      </c>
      <c r="AP28">
        <f t="shared" ref="AP28:AP75" si="24">AO28*((F28+0.3)*(G28+0.3)+F28*G28+2*(F28*H28+G28*H28))</f>
        <v>0</v>
      </c>
      <c r="AR28" t="str">
        <f t="shared" si="11"/>
        <v>NE</v>
      </c>
      <c r="AS28">
        <f t="shared" ref="AS28:AS75" si="25">AP28*2</f>
        <v>0</v>
      </c>
      <c r="AT28" t="str">
        <f t="shared" si="12"/>
        <v>ANO</v>
      </c>
      <c r="AU28">
        <f t="shared" ref="AU28:AU75" si="26">IF(AT28="ano",AA28,0)</f>
        <v>7.2695359999999996</v>
      </c>
      <c r="AW28">
        <f t="shared" si="13"/>
        <v>11.335072</v>
      </c>
      <c r="AX28">
        <f t="shared" si="14"/>
        <v>0</v>
      </c>
    </row>
    <row r="29" spans="3:50" ht="15.75" x14ac:dyDescent="0.25">
      <c r="C29" s="90" t="str">
        <f>Šachty!J25</f>
        <v>Š07</v>
      </c>
      <c r="D29" s="47">
        <f>Šachty!K25</f>
        <v>1</v>
      </c>
      <c r="E29" s="47">
        <f>Šachty!M25</f>
        <v>0</v>
      </c>
      <c r="F29" s="34">
        <f>Šachty!N25</f>
        <v>2.8</v>
      </c>
      <c r="G29" s="34">
        <f>Šachty!O25</f>
        <v>2.1</v>
      </c>
      <c r="H29" s="34">
        <f>Šachty!P25</f>
        <v>3.5</v>
      </c>
      <c r="I29" s="34">
        <f>Šachty!R25</f>
        <v>0.3</v>
      </c>
      <c r="J29" s="34">
        <f t="shared" si="15"/>
        <v>20.58</v>
      </c>
      <c r="K29" s="34">
        <f>Šachty!S25-J29</f>
        <v>0</v>
      </c>
      <c r="L29" t="str">
        <f>Šachty!X25</f>
        <v>Beton / Kompozit</v>
      </c>
      <c r="M29" t="str">
        <f>Šachty!Y25</f>
        <v>ŽB. šachta</v>
      </c>
      <c r="N29">
        <f>Šachty!Z25</f>
        <v>1</v>
      </c>
      <c r="O29" t="str">
        <f>Šachty!AA25</f>
        <v>Terén</v>
      </c>
      <c r="P29" s="34" t="str">
        <f>Šachty!AE25</f>
        <v>Ano</v>
      </c>
      <c r="Q29" s="47" t="str">
        <f>Šachty!AI25</f>
        <v>Ano</v>
      </c>
      <c r="R29" t="str">
        <f>Šachty!AL25</f>
        <v>ANO</v>
      </c>
      <c r="S29" t="s">
        <v>217</v>
      </c>
      <c r="T29">
        <f>IF(Šachty!AO25="ano",IF(S29="ano",1,0),0)</f>
        <v>1</v>
      </c>
      <c r="V29" s="34">
        <f t="shared" ref="V29:V81" si="27">IF(S29="ano",(F29+2*$V$22)*(G29+2*$V$22)*(H29+$V$22),IF(M29="pro pl. šachtu",J29+1.25,0))</f>
        <v>24.840000000000003</v>
      </c>
      <c r="W29" s="34">
        <f t="shared" si="6"/>
        <v>0.14999999999999991</v>
      </c>
      <c r="X29" s="34">
        <f t="shared" si="16"/>
        <v>4.4100000000000055</v>
      </c>
      <c r="Y29" s="34">
        <f t="shared" si="17"/>
        <v>0</v>
      </c>
      <c r="Z29" s="34">
        <f t="shared" si="18"/>
        <v>4.4100000000000055</v>
      </c>
      <c r="AA29" s="34">
        <f t="shared" si="7"/>
        <v>19.679999999999996</v>
      </c>
      <c r="AB29" s="34">
        <f t="shared" si="8"/>
        <v>0.15</v>
      </c>
      <c r="AC29" s="34">
        <f t="shared" si="19"/>
        <v>2.9519999999999995</v>
      </c>
      <c r="AD29" s="2"/>
      <c r="AE29" s="2"/>
      <c r="AF29">
        <f t="shared" si="9"/>
        <v>1</v>
      </c>
      <c r="AG29" s="34">
        <f t="shared" si="20"/>
        <v>18.799999999999997</v>
      </c>
      <c r="AH29" s="34">
        <f t="shared" si="21"/>
        <v>40.18</v>
      </c>
      <c r="AI29" s="34"/>
      <c r="AJ29" s="90" t="str">
        <f t="shared" si="4"/>
        <v>Š07</v>
      </c>
      <c r="AM29" s="90" t="str">
        <f t="shared" si="10"/>
        <v>Š07</v>
      </c>
      <c r="AN29" t="str">
        <f t="shared" si="22"/>
        <v>Ano</v>
      </c>
      <c r="AO29" s="34">
        <f t="shared" si="23"/>
        <v>1</v>
      </c>
      <c r="AP29">
        <f t="shared" si="24"/>
        <v>47.62</v>
      </c>
      <c r="AR29" t="str">
        <f t="shared" ref="AR29:AR77" si="28">Q29</f>
        <v>Ano</v>
      </c>
      <c r="AS29">
        <f t="shared" si="25"/>
        <v>95.24</v>
      </c>
      <c r="AT29" t="str">
        <f t="shared" ref="AT29:AT77" si="29">R29</f>
        <v>ANO</v>
      </c>
      <c r="AU29">
        <f t="shared" si="26"/>
        <v>19.679999999999996</v>
      </c>
      <c r="AV29" t="s">
        <v>184</v>
      </c>
      <c r="AW29">
        <f t="shared" si="13"/>
        <v>47.62</v>
      </c>
      <c r="AX29">
        <f t="shared" si="14"/>
        <v>47.62</v>
      </c>
    </row>
    <row r="30" spans="3:50" ht="15.75" x14ac:dyDescent="0.25">
      <c r="C30" s="90" t="str">
        <f>Šachty!J26</f>
        <v>Š08</v>
      </c>
      <c r="D30" s="47">
        <f>Šachty!K26</f>
        <v>1</v>
      </c>
      <c r="E30" s="47">
        <f>Šachty!M26</f>
        <v>0</v>
      </c>
      <c r="F30" s="34">
        <f>Šachty!N26</f>
        <v>2.8</v>
      </c>
      <c r="G30" s="34">
        <f>Šachty!O26</f>
        <v>2.1</v>
      </c>
      <c r="H30" s="34">
        <f>Šachty!P26</f>
        <v>3.5</v>
      </c>
      <c r="I30" s="34">
        <f>Šachty!R26</f>
        <v>0.3</v>
      </c>
      <c r="J30" s="34">
        <f t="shared" si="15"/>
        <v>20.58</v>
      </c>
      <c r="K30" s="34">
        <f>Šachty!S26-J30</f>
        <v>0</v>
      </c>
      <c r="L30" t="str">
        <f>Šachty!X26</f>
        <v>Beton / Kompozit</v>
      </c>
      <c r="M30" t="str">
        <f>Šachty!Y26</f>
        <v>ŽB. šachta</v>
      </c>
      <c r="N30">
        <f>Šachty!Z26</f>
        <v>1</v>
      </c>
      <c r="O30" t="str">
        <f>Šachty!AA26</f>
        <v>Terén</v>
      </c>
      <c r="P30" s="34" t="str">
        <f>Šachty!AE26</f>
        <v>Ano</v>
      </c>
      <c r="Q30" s="47" t="str">
        <f>Šachty!AI26</f>
        <v>Ano</v>
      </c>
      <c r="R30" t="str">
        <f>Šachty!AL26</f>
        <v>ANO</v>
      </c>
      <c r="S30" t="s">
        <v>217</v>
      </c>
      <c r="T30">
        <f>IF(Šachty!AO26="ano",IF(S30="ano",1,0),0)</f>
        <v>1</v>
      </c>
      <c r="V30" s="34">
        <f t="shared" si="27"/>
        <v>24.840000000000003</v>
      </c>
      <c r="W30" s="34">
        <f t="shared" si="6"/>
        <v>0.14999999999999991</v>
      </c>
      <c r="X30" s="34">
        <f t="shared" si="16"/>
        <v>4.4100000000000055</v>
      </c>
      <c r="Y30" s="34">
        <f t="shared" si="17"/>
        <v>0</v>
      </c>
      <c r="Z30" s="34">
        <f t="shared" si="18"/>
        <v>4.4100000000000055</v>
      </c>
      <c r="AA30" s="34">
        <f t="shared" si="7"/>
        <v>19.679999999999996</v>
      </c>
      <c r="AB30" s="34">
        <f t="shared" si="8"/>
        <v>0.15</v>
      </c>
      <c r="AC30" s="34">
        <f t="shared" si="19"/>
        <v>2.9519999999999995</v>
      </c>
      <c r="AD30" s="2"/>
      <c r="AE30" s="2"/>
      <c r="AF30">
        <f t="shared" si="9"/>
        <v>1</v>
      </c>
      <c r="AG30" s="34">
        <f t="shared" si="20"/>
        <v>18.799999999999997</v>
      </c>
      <c r="AH30" s="34">
        <f t="shared" si="21"/>
        <v>40.18</v>
      </c>
      <c r="AI30" s="34"/>
      <c r="AJ30" s="90" t="str">
        <f t="shared" si="4"/>
        <v>Š08</v>
      </c>
      <c r="AM30" s="90" t="str">
        <f t="shared" si="10"/>
        <v>Š08</v>
      </c>
      <c r="AN30" t="str">
        <f t="shared" si="22"/>
        <v>Ano</v>
      </c>
      <c r="AO30" s="34">
        <f t="shared" si="23"/>
        <v>1</v>
      </c>
      <c r="AP30">
        <f t="shared" si="24"/>
        <v>47.62</v>
      </c>
      <c r="AR30" t="str">
        <f t="shared" si="28"/>
        <v>Ano</v>
      </c>
      <c r="AS30">
        <f t="shared" si="25"/>
        <v>95.24</v>
      </c>
      <c r="AT30" t="str">
        <f t="shared" si="29"/>
        <v>ANO</v>
      </c>
      <c r="AU30">
        <f t="shared" si="26"/>
        <v>19.679999999999996</v>
      </c>
      <c r="AV30" t="s">
        <v>184</v>
      </c>
      <c r="AW30">
        <f t="shared" si="13"/>
        <v>47.62</v>
      </c>
      <c r="AX30">
        <f t="shared" si="14"/>
        <v>47.62</v>
      </c>
    </row>
    <row r="31" spans="3:50" ht="15.75" x14ac:dyDescent="0.25">
      <c r="C31" s="90" t="str">
        <f>Šachty!J27</f>
        <v>Š09</v>
      </c>
      <c r="D31" s="47">
        <f>Šachty!K27</f>
        <v>1</v>
      </c>
      <c r="E31" s="47">
        <f>Šachty!M27</f>
        <v>0</v>
      </c>
      <c r="F31" s="34">
        <f>Šachty!N27</f>
        <v>2.1</v>
      </c>
      <c r="G31" s="34">
        <f>Šachty!O27</f>
        <v>2.1</v>
      </c>
      <c r="H31" s="34">
        <f>Šachty!P27</f>
        <v>2.8</v>
      </c>
      <c r="I31" s="34">
        <f>Šachty!R27</f>
        <v>0.3</v>
      </c>
      <c r="J31" s="34">
        <f t="shared" si="15"/>
        <v>12.347999999999999</v>
      </c>
      <c r="K31" s="34">
        <f>Šachty!S27-J31</f>
        <v>0</v>
      </c>
      <c r="L31" t="str">
        <f>Šachty!X27</f>
        <v>Beton / Kompozit</v>
      </c>
      <c r="M31" t="str">
        <f>Šachty!Y27</f>
        <v>ŽB. šachta</v>
      </c>
      <c r="N31">
        <f>Šachty!Z27</f>
        <v>1</v>
      </c>
      <c r="O31" t="str">
        <f>Šachty!AA27</f>
        <v>Terén</v>
      </c>
      <c r="P31" s="34" t="str">
        <f>Šachty!AE27</f>
        <v>Ano</v>
      </c>
      <c r="Q31" s="47" t="str">
        <f>Šachty!AI27</f>
        <v>Ano</v>
      </c>
      <c r="R31" t="str">
        <f>Šachty!AL27</f>
        <v>ANO</v>
      </c>
      <c r="S31" t="s">
        <v>217</v>
      </c>
      <c r="T31">
        <f>IF(Šachty!AO27="ano",IF(S31="ano",1,0),0)</f>
        <v>1</v>
      </c>
      <c r="V31" s="34">
        <f t="shared" si="27"/>
        <v>15.341000000000003</v>
      </c>
      <c r="W31" s="34">
        <f t="shared" si="6"/>
        <v>0.14999999999999991</v>
      </c>
      <c r="X31" s="34">
        <f t="shared" si="16"/>
        <v>3.1430000000000038</v>
      </c>
      <c r="Y31" s="34">
        <f t="shared" si="17"/>
        <v>0</v>
      </c>
      <c r="Z31" s="34">
        <f t="shared" si="18"/>
        <v>3.1430000000000038</v>
      </c>
      <c r="AA31" s="34">
        <f t="shared" si="7"/>
        <v>16.809999999999999</v>
      </c>
      <c r="AB31" s="34">
        <f t="shared" si="8"/>
        <v>0.15</v>
      </c>
      <c r="AC31" s="34">
        <f t="shared" si="19"/>
        <v>2.5214999999999996</v>
      </c>
      <c r="AD31" s="2"/>
      <c r="AE31" s="2"/>
      <c r="AF31">
        <f t="shared" si="9"/>
        <v>1</v>
      </c>
      <c r="AG31" s="34">
        <f t="shared" si="20"/>
        <v>16</v>
      </c>
      <c r="AH31" s="34">
        <f t="shared" si="21"/>
        <v>27.93</v>
      </c>
      <c r="AI31" s="34"/>
      <c r="AJ31" s="90" t="str">
        <f t="shared" si="4"/>
        <v>Š09</v>
      </c>
      <c r="AM31" s="90" t="str">
        <f t="shared" si="10"/>
        <v>Š09</v>
      </c>
      <c r="AN31" t="str">
        <f t="shared" si="22"/>
        <v>Ano</v>
      </c>
      <c r="AO31" s="34">
        <f t="shared" si="23"/>
        <v>1</v>
      </c>
      <c r="AP31">
        <f t="shared" si="24"/>
        <v>33.69</v>
      </c>
      <c r="AR31" t="str">
        <f t="shared" si="28"/>
        <v>Ano</v>
      </c>
      <c r="AS31">
        <f t="shared" si="25"/>
        <v>67.38</v>
      </c>
      <c r="AT31" t="str">
        <f t="shared" si="29"/>
        <v>ANO</v>
      </c>
      <c r="AU31">
        <f t="shared" si="26"/>
        <v>16.809999999999999</v>
      </c>
      <c r="AV31" t="s">
        <v>184</v>
      </c>
      <c r="AW31">
        <f t="shared" si="13"/>
        <v>33.69</v>
      </c>
      <c r="AX31">
        <f t="shared" si="14"/>
        <v>33.69</v>
      </c>
    </row>
    <row r="32" spans="3:50" ht="15.75" x14ac:dyDescent="0.25">
      <c r="C32" s="90" t="str">
        <f>Šachty!J28</f>
        <v>Š10</v>
      </c>
      <c r="D32" s="47">
        <f>Šachty!K28</f>
        <v>1</v>
      </c>
      <c r="E32" s="47">
        <f>Šachty!M28</f>
        <v>0</v>
      </c>
      <c r="F32" s="34">
        <f>Šachty!N28</f>
        <v>2.1</v>
      </c>
      <c r="G32" s="34">
        <f>Šachty!O28</f>
        <v>2.1</v>
      </c>
      <c r="H32" s="34">
        <f>Šachty!P28</f>
        <v>2.8</v>
      </c>
      <c r="I32" s="34">
        <f>Šachty!R28</f>
        <v>0.3</v>
      </c>
      <c r="J32" s="34">
        <f t="shared" si="15"/>
        <v>12.347999999999999</v>
      </c>
      <c r="K32" s="34">
        <f>Šachty!S28-J32</f>
        <v>0</v>
      </c>
      <c r="L32" t="str">
        <f>Šachty!X28</f>
        <v>Beton / Kompozit</v>
      </c>
      <c r="M32" t="str">
        <f>Šachty!Y28</f>
        <v>ŽB. šachta</v>
      </c>
      <c r="N32">
        <f>Šachty!Z28</f>
        <v>1</v>
      </c>
      <c r="O32" t="str">
        <f>Šachty!AA28</f>
        <v>Terén</v>
      </c>
      <c r="P32" s="34" t="str">
        <f>Šachty!AE28</f>
        <v>Ano</v>
      </c>
      <c r="Q32" s="47" t="str">
        <f>Šachty!AI28</f>
        <v>Ano</v>
      </c>
      <c r="R32" t="str">
        <f>Šachty!AL28</f>
        <v>ANO</v>
      </c>
      <c r="S32" t="s">
        <v>217</v>
      </c>
      <c r="T32">
        <f>IF(Šachty!AO28="ano",IF(S32="ano",1,0),0)</f>
        <v>1</v>
      </c>
      <c r="V32" s="34">
        <f t="shared" si="27"/>
        <v>15.341000000000003</v>
      </c>
      <c r="W32" s="34">
        <f t="shared" si="6"/>
        <v>0.14999999999999991</v>
      </c>
      <c r="X32" s="34">
        <f t="shared" si="16"/>
        <v>3.1430000000000038</v>
      </c>
      <c r="Y32" s="34">
        <f t="shared" si="17"/>
        <v>0</v>
      </c>
      <c r="Z32" s="34">
        <f t="shared" si="18"/>
        <v>3.1430000000000038</v>
      </c>
      <c r="AA32" s="34">
        <f t="shared" si="7"/>
        <v>16.809999999999999</v>
      </c>
      <c r="AB32" s="34">
        <f t="shared" si="8"/>
        <v>0.15</v>
      </c>
      <c r="AC32" s="34">
        <f t="shared" si="19"/>
        <v>2.5214999999999996</v>
      </c>
      <c r="AD32" s="2"/>
      <c r="AE32" s="2"/>
      <c r="AF32">
        <f t="shared" si="9"/>
        <v>1</v>
      </c>
      <c r="AG32" s="34">
        <f t="shared" si="20"/>
        <v>16</v>
      </c>
      <c r="AH32" s="34">
        <f t="shared" si="21"/>
        <v>27.93</v>
      </c>
      <c r="AI32" s="34"/>
      <c r="AJ32" s="90" t="str">
        <f t="shared" si="4"/>
        <v>Š10</v>
      </c>
      <c r="AM32" s="90" t="str">
        <f t="shared" si="10"/>
        <v>Š10</v>
      </c>
      <c r="AN32" t="str">
        <f t="shared" si="22"/>
        <v>Ano</v>
      </c>
      <c r="AO32" s="34">
        <f t="shared" si="23"/>
        <v>1</v>
      </c>
      <c r="AP32">
        <f t="shared" si="24"/>
        <v>33.69</v>
      </c>
      <c r="AR32" t="str">
        <f t="shared" si="28"/>
        <v>Ano</v>
      </c>
      <c r="AS32">
        <f t="shared" si="25"/>
        <v>67.38</v>
      </c>
      <c r="AT32" t="str">
        <f t="shared" si="29"/>
        <v>ANO</v>
      </c>
      <c r="AU32">
        <f t="shared" si="26"/>
        <v>16.809999999999999</v>
      </c>
      <c r="AV32" t="s">
        <v>184</v>
      </c>
      <c r="AW32">
        <f t="shared" si="13"/>
        <v>33.69</v>
      </c>
      <c r="AX32">
        <f t="shared" si="14"/>
        <v>33.69</v>
      </c>
    </row>
    <row r="33" spans="3:50" ht="15.75" x14ac:dyDescent="0.25">
      <c r="C33" s="90" t="str">
        <f>Šachty!J29</f>
        <v>Š11</v>
      </c>
      <c r="D33" s="47">
        <f>Šachty!K29</f>
        <v>1</v>
      </c>
      <c r="E33" s="47">
        <f>Šachty!M29</f>
        <v>0</v>
      </c>
      <c r="F33" s="34">
        <f>Šachty!N29</f>
        <v>2.1</v>
      </c>
      <c r="G33" s="34">
        <f>Šachty!O29</f>
        <v>2.1</v>
      </c>
      <c r="H33" s="34">
        <f>Šachty!P29</f>
        <v>2.8</v>
      </c>
      <c r="I33" s="34">
        <f>Šachty!R29</f>
        <v>0.3</v>
      </c>
      <c r="J33" s="34">
        <f t="shared" si="15"/>
        <v>12.347999999999999</v>
      </c>
      <c r="K33" s="34">
        <f>Šachty!S29-J33</f>
        <v>0</v>
      </c>
      <c r="L33" t="str">
        <f>Šachty!X29</f>
        <v>Beton / Kompozit</v>
      </c>
      <c r="M33" t="str">
        <f>Šachty!Y29</f>
        <v>ŽB. šachta</v>
      </c>
      <c r="N33">
        <f>Šachty!Z29</f>
        <v>1</v>
      </c>
      <c r="O33" t="str">
        <f>Šachty!AA29</f>
        <v>Terén</v>
      </c>
      <c r="P33" s="34" t="str">
        <f>Šachty!AE29</f>
        <v>Ano</v>
      </c>
      <c r="Q33" s="47" t="str">
        <f>Šachty!AI29</f>
        <v>Ano</v>
      </c>
      <c r="R33" t="str">
        <f>Šachty!AL29</f>
        <v>ANO</v>
      </c>
      <c r="S33" t="s">
        <v>217</v>
      </c>
      <c r="T33">
        <f>IF(Šachty!AO29="ano",IF(S33="ano",1,0),0)</f>
        <v>1</v>
      </c>
      <c r="V33" s="34">
        <f t="shared" si="27"/>
        <v>15.341000000000003</v>
      </c>
      <c r="W33" s="34">
        <f t="shared" si="6"/>
        <v>0.14999999999999991</v>
      </c>
      <c r="X33" s="34">
        <f t="shared" si="16"/>
        <v>3.1430000000000038</v>
      </c>
      <c r="Y33" s="34">
        <f t="shared" si="17"/>
        <v>0</v>
      </c>
      <c r="Z33" s="34">
        <f t="shared" si="18"/>
        <v>3.1430000000000038</v>
      </c>
      <c r="AA33" s="34">
        <f t="shared" si="7"/>
        <v>16.809999999999999</v>
      </c>
      <c r="AB33" s="34">
        <f t="shared" si="8"/>
        <v>0.15</v>
      </c>
      <c r="AC33" s="34">
        <f t="shared" si="19"/>
        <v>2.5214999999999996</v>
      </c>
      <c r="AD33" s="2"/>
      <c r="AE33" s="2"/>
      <c r="AF33">
        <f t="shared" si="9"/>
        <v>1</v>
      </c>
      <c r="AG33" s="34">
        <f t="shared" si="20"/>
        <v>16</v>
      </c>
      <c r="AH33" s="34">
        <f t="shared" si="21"/>
        <v>27.93</v>
      </c>
      <c r="AI33" s="34"/>
      <c r="AJ33" s="90" t="str">
        <f t="shared" si="4"/>
        <v>Š11</v>
      </c>
      <c r="AM33" s="90" t="str">
        <f t="shared" si="10"/>
        <v>Š11</v>
      </c>
      <c r="AN33" t="str">
        <f t="shared" si="22"/>
        <v>Ano</v>
      </c>
      <c r="AO33" s="34">
        <f t="shared" si="23"/>
        <v>1</v>
      </c>
      <c r="AP33">
        <f t="shared" si="24"/>
        <v>33.69</v>
      </c>
      <c r="AR33" t="str">
        <f t="shared" si="28"/>
        <v>Ano</v>
      </c>
      <c r="AS33">
        <f t="shared" si="25"/>
        <v>67.38</v>
      </c>
      <c r="AT33" t="str">
        <f t="shared" si="29"/>
        <v>ANO</v>
      </c>
      <c r="AU33">
        <f t="shared" si="26"/>
        <v>16.809999999999999</v>
      </c>
      <c r="AV33" t="s">
        <v>184</v>
      </c>
      <c r="AW33">
        <f t="shared" si="13"/>
        <v>33.69</v>
      </c>
      <c r="AX33">
        <f t="shared" si="14"/>
        <v>33.69</v>
      </c>
    </row>
    <row r="34" spans="3:50" ht="15.75" x14ac:dyDescent="0.25">
      <c r="C34" s="90" t="str">
        <f>Šachty!J30</f>
        <v>Š12</v>
      </c>
      <c r="D34" s="47">
        <f>Šachty!K30</f>
        <v>1</v>
      </c>
      <c r="E34" s="47">
        <f>Šachty!M30</f>
        <v>0</v>
      </c>
      <c r="F34" s="34">
        <f>Šachty!N30</f>
        <v>2.1</v>
      </c>
      <c r="G34" s="34">
        <f>Šachty!O30</f>
        <v>2.1</v>
      </c>
      <c r="H34" s="34">
        <f>Šachty!P30</f>
        <v>2.8</v>
      </c>
      <c r="I34" s="34">
        <f>Šachty!R30</f>
        <v>0.3</v>
      </c>
      <c r="J34" s="34">
        <f t="shared" si="15"/>
        <v>12.347999999999999</v>
      </c>
      <c r="K34" s="34">
        <f>Šachty!S30-J34</f>
        <v>0</v>
      </c>
      <c r="L34" t="str">
        <f>Šachty!X30</f>
        <v>Beton / Kompozit</v>
      </c>
      <c r="M34" t="str">
        <f>Šachty!Y30</f>
        <v>ŽB. šachta</v>
      </c>
      <c r="N34">
        <f>Šachty!Z30</f>
        <v>1</v>
      </c>
      <c r="O34" t="str">
        <f>Šachty!AA30</f>
        <v>Terén</v>
      </c>
      <c r="P34" s="34" t="str">
        <f>Šachty!AE30</f>
        <v>Ano</v>
      </c>
      <c r="Q34" s="47" t="str">
        <f>Šachty!AI30</f>
        <v>Ano</v>
      </c>
      <c r="R34" t="str">
        <f>Šachty!AL30</f>
        <v>ANO</v>
      </c>
      <c r="S34" t="s">
        <v>217</v>
      </c>
      <c r="T34">
        <f>IF(Šachty!AO30="ano",IF(S34="ano",1,0),0)</f>
        <v>1</v>
      </c>
      <c r="V34" s="34">
        <f t="shared" si="27"/>
        <v>15.341000000000003</v>
      </c>
      <c r="W34" s="34">
        <f t="shared" si="6"/>
        <v>0.14999999999999991</v>
      </c>
      <c r="X34" s="34">
        <f t="shared" si="16"/>
        <v>3.1430000000000038</v>
      </c>
      <c r="Y34" s="34">
        <f t="shared" si="17"/>
        <v>0</v>
      </c>
      <c r="Z34" s="34">
        <f t="shared" si="18"/>
        <v>3.1430000000000038</v>
      </c>
      <c r="AA34" s="34">
        <f t="shared" si="7"/>
        <v>16.809999999999999</v>
      </c>
      <c r="AB34" s="34">
        <f t="shared" si="8"/>
        <v>0.15</v>
      </c>
      <c r="AC34" s="34">
        <f t="shared" si="19"/>
        <v>2.5214999999999996</v>
      </c>
      <c r="AD34" s="2"/>
      <c r="AE34" s="2"/>
      <c r="AF34">
        <f t="shared" si="9"/>
        <v>1</v>
      </c>
      <c r="AG34" s="34">
        <f t="shared" si="20"/>
        <v>16</v>
      </c>
      <c r="AH34" s="34">
        <f t="shared" si="21"/>
        <v>27.93</v>
      </c>
      <c r="AI34" s="34"/>
      <c r="AJ34" s="90" t="str">
        <f t="shared" si="4"/>
        <v>Š12</v>
      </c>
      <c r="AM34" s="90" t="str">
        <f t="shared" si="10"/>
        <v>Š12</v>
      </c>
      <c r="AN34" t="str">
        <f t="shared" si="22"/>
        <v>Ano</v>
      </c>
      <c r="AO34" s="34">
        <f t="shared" si="23"/>
        <v>1</v>
      </c>
      <c r="AP34">
        <f t="shared" si="24"/>
        <v>33.69</v>
      </c>
      <c r="AR34" t="str">
        <f t="shared" si="28"/>
        <v>Ano</v>
      </c>
      <c r="AS34">
        <f t="shared" si="25"/>
        <v>67.38</v>
      </c>
      <c r="AT34" t="str">
        <f t="shared" si="29"/>
        <v>ANO</v>
      </c>
      <c r="AU34">
        <f t="shared" si="26"/>
        <v>16.809999999999999</v>
      </c>
      <c r="AV34" t="s">
        <v>184</v>
      </c>
      <c r="AW34">
        <f t="shared" si="13"/>
        <v>33.69</v>
      </c>
      <c r="AX34">
        <f t="shared" si="14"/>
        <v>33.69</v>
      </c>
    </row>
    <row r="35" spans="3:50" ht="15.75" x14ac:dyDescent="0.25">
      <c r="C35" s="90" t="str">
        <f>Šachty!J31</f>
        <v>Š13</v>
      </c>
      <c r="D35" s="47">
        <f>Šachty!K31</f>
        <v>1</v>
      </c>
      <c r="E35" s="47">
        <f>Šachty!M31</f>
        <v>0</v>
      </c>
      <c r="F35" s="34">
        <f>Šachty!N31</f>
        <v>2.1</v>
      </c>
      <c r="G35" s="34">
        <f>Šachty!O31</f>
        <v>2.1</v>
      </c>
      <c r="H35" s="34">
        <f>Šachty!P31</f>
        <v>2.8</v>
      </c>
      <c r="I35" s="34">
        <f>Šachty!R31</f>
        <v>0.3</v>
      </c>
      <c r="J35" s="34">
        <f t="shared" si="15"/>
        <v>12.347999999999999</v>
      </c>
      <c r="K35" s="34">
        <f>Šachty!S31-J35</f>
        <v>0</v>
      </c>
      <c r="L35" t="str">
        <f>Šachty!X31</f>
        <v>Beton / Kompozit</v>
      </c>
      <c r="M35" t="str">
        <f>Šachty!Y31</f>
        <v>ŽB. šachta</v>
      </c>
      <c r="N35">
        <f>Šachty!Z31</f>
        <v>1</v>
      </c>
      <c r="O35" t="str">
        <f>Šachty!AA31</f>
        <v>Terén</v>
      </c>
      <c r="P35" s="34" t="str">
        <f>Šachty!AE31</f>
        <v>Ano</v>
      </c>
      <c r="Q35" s="47" t="str">
        <f>Šachty!AI31</f>
        <v>Ano</v>
      </c>
      <c r="R35" t="str">
        <f>Šachty!AL31</f>
        <v>ANO</v>
      </c>
      <c r="S35" t="s">
        <v>217</v>
      </c>
      <c r="T35">
        <f>IF(Šachty!AO31="ano",IF(S35="ano",1,0),0)</f>
        <v>1</v>
      </c>
      <c r="V35" s="34">
        <f t="shared" si="27"/>
        <v>15.341000000000003</v>
      </c>
      <c r="W35" s="34">
        <f t="shared" si="6"/>
        <v>0.14999999999999991</v>
      </c>
      <c r="X35" s="34">
        <f t="shared" si="16"/>
        <v>3.1430000000000038</v>
      </c>
      <c r="Y35" s="34">
        <f t="shared" si="17"/>
        <v>0</v>
      </c>
      <c r="Z35" s="34">
        <f t="shared" si="18"/>
        <v>3.1430000000000038</v>
      </c>
      <c r="AA35" s="34">
        <f t="shared" si="7"/>
        <v>16.809999999999999</v>
      </c>
      <c r="AB35" s="34">
        <f t="shared" si="8"/>
        <v>0.15</v>
      </c>
      <c r="AC35" s="34">
        <f t="shared" si="19"/>
        <v>2.5214999999999996</v>
      </c>
      <c r="AD35" s="2"/>
      <c r="AE35" s="2"/>
      <c r="AF35">
        <f t="shared" si="9"/>
        <v>1</v>
      </c>
      <c r="AG35" s="34">
        <f t="shared" si="20"/>
        <v>16</v>
      </c>
      <c r="AH35" s="34">
        <f t="shared" si="21"/>
        <v>27.93</v>
      </c>
      <c r="AI35" s="34"/>
      <c r="AJ35" s="90" t="str">
        <f t="shared" si="4"/>
        <v>Š13</v>
      </c>
      <c r="AM35" s="90" t="str">
        <f t="shared" si="10"/>
        <v>Š13</v>
      </c>
      <c r="AN35" t="str">
        <f t="shared" si="22"/>
        <v>Ano</v>
      </c>
      <c r="AO35" s="34">
        <f t="shared" si="23"/>
        <v>1</v>
      </c>
      <c r="AP35">
        <f t="shared" si="24"/>
        <v>33.69</v>
      </c>
      <c r="AR35" t="str">
        <f t="shared" si="28"/>
        <v>Ano</v>
      </c>
      <c r="AS35">
        <f t="shared" si="25"/>
        <v>67.38</v>
      </c>
      <c r="AT35" t="str">
        <f t="shared" si="29"/>
        <v>ANO</v>
      </c>
      <c r="AU35">
        <f t="shared" si="26"/>
        <v>16.809999999999999</v>
      </c>
      <c r="AV35" t="s">
        <v>184</v>
      </c>
      <c r="AW35">
        <f t="shared" si="13"/>
        <v>33.69</v>
      </c>
      <c r="AX35">
        <f t="shared" si="14"/>
        <v>33.69</v>
      </c>
    </row>
    <row r="36" spans="3:50" ht="15.75" x14ac:dyDescent="0.25">
      <c r="C36" s="90" t="str">
        <f>Šachty!J32</f>
        <v>Š14</v>
      </c>
      <c r="D36" s="47">
        <f>Šachty!K32</f>
        <v>1</v>
      </c>
      <c r="E36" s="47">
        <f>Šachty!M32</f>
        <v>0</v>
      </c>
      <c r="F36" s="34">
        <f>Šachty!N32</f>
        <v>2.1</v>
      </c>
      <c r="G36" s="34">
        <f>Šachty!O32</f>
        <v>2.1</v>
      </c>
      <c r="H36" s="34">
        <f>Šachty!P32</f>
        <v>2.8</v>
      </c>
      <c r="I36" s="34">
        <f>Šachty!R32</f>
        <v>0.3</v>
      </c>
      <c r="J36" s="34">
        <f t="shared" si="15"/>
        <v>12.347999999999999</v>
      </c>
      <c r="K36" s="34">
        <f>Šachty!S32-J36</f>
        <v>0</v>
      </c>
      <c r="L36" t="str">
        <f>Šachty!X32</f>
        <v>Beton / Kompozit</v>
      </c>
      <c r="M36" t="str">
        <f>Šachty!Y32</f>
        <v>ŽB. šachta</v>
      </c>
      <c r="N36">
        <f>Šachty!Z32</f>
        <v>1</v>
      </c>
      <c r="O36" t="str">
        <f>Šachty!AA32</f>
        <v>Terén</v>
      </c>
      <c r="P36" s="34" t="str">
        <f>Šachty!AE32</f>
        <v>Ano</v>
      </c>
      <c r="Q36" s="47" t="str">
        <f>Šachty!AI32</f>
        <v>Ano</v>
      </c>
      <c r="R36" t="str">
        <f>Šachty!AL32</f>
        <v>ANO</v>
      </c>
      <c r="S36" t="s">
        <v>217</v>
      </c>
      <c r="T36">
        <f>IF(Šachty!AO32="ano",IF(S36="ano",1,0),0)</f>
        <v>1</v>
      </c>
      <c r="V36" s="34">
        <f t="shared" si="27"/>
        <v>15.341000000000003</v>
      </c>
      <c r="W36" s="34">
        <f t="shared" si="6"/>
        <v>0.14999999999999991</v>
      </c>
      <c r="X36" s="34">
        <f t="shared" si="16"/>
        <v>3.1430000000000038</v>
      </c>
      <c r="Y36" s="34">
        <f t="shared" si="17"/>
        <v>0</v>
      </c>
      <c r="Z36" s="34">
        <f t="shared" si="18"/>
        <v>3.1430000000000038</v>
      </c>
      <c r="AA36" s="34">
        <f t="shared" si="7"/>
        <v>16.809999999999999</v>
      </c>
      <c r="AB36" s="34">
        <f t="shared" si="8"/>
        <v>0.15</v>
      </c>
      <c r="AC36" s="34">
        <f t="shared" si="19"/>
        <v>2.5214999999999996</v>
      </c>
      <c r="AD36" s="2"/>
      <c r="AE36" s="2"/>
      <c r="AF36">
        <f t="shared" si="9"/>
        <v>1</v>
      </c>
      <c r="AG36" s="34">
        <f t="shared" si="20"/>
        <v>16</v>
      </c>
      <c r="AH36" s="34">
        <f t="shared" si="21"/>
        <v>27.93</v>
      </c>
      <c r="AI36" s="34"/>
      <c r="AJ36" s="90" t="str">
        <f t="shared" si="4"/>
        <v>Š14</v>
      </c>
      <c r="AM36" s="90" t="str">
        <f t="shared" si="10"/>
        <v>Š14</v>
      </c>
      <c r="AN36" t="str">
        <f t="shared" si="22"/>
        <v>Ano</v>
      </c>
      <c r="AO36" s="34">
        <f t="shared" si="23"/>
        <v>1</v>
      </c>
      <c r="AP36">
        <f t="shared" si="24"/>
        <v>33.69</v>
      </c>
      <c r="AR36" t="str">
        <f t="shared" si="28"/>
        <v>Ano</v>
      </c>
      <c r="AS36">
        <f t="shared" si="25"/>
        <v>67.38</v>
      </c>
      <c r="AT36" t="str">
        <f t="shared" si="29"/>
        <v>ANO</v>
      </c>
      <c r="AU36">
        <f t="shared" si="26"/>
        <v>16.809999999999999</v>
      </c>
      <c r="AV36" t="s">
        <v>184</v>
      </c>
      <c r="AW36">
        <f t="shared" si="13"/>
        <v>33.69</v>
      </c>
      <c r="AX36">
        <f t="shared" si="14"/>
        <v>33.69</v>
      </c>
    </row>
    <row r="37" spans="3:50" ht="15.75" x14ac:dyDescent="0.25">
      <c r="C37" s="90" t="str">
        <f>Šachty!J33</f>
        <v>Š15</v>
      </c>
      <c r="D37" s="47">
        <f>Šachty!K33</f>
        <v>1</v>
      </c>
      <c r="E37" s="47">
        <f>Šachty!M33</f>
        <v>0</v>
      </c>
      <c r="F37" s="34">
        <f>Šachty!N33</f>
        <v>2.1</v>
      </c>
      <c r="G37" s="34">
        <f>Šachty!O33</f>
        <v>2.1</v>
      </c>
      <c r="H37" s="34">
        <f>Šachty!P33</f>
        <v>2.8</v>
      </c>
      <c r="I37" s="34">
        <f>Šachty!R33</f>
        <v>0.3</v>
      </c>
      <c r="J37" s="34">
        <f t="shared" si="15"/>
        <v>12.347999999999999</v>
      </c>
      <c r="K37" s="34">
        <f>Šachty!S33-J37</f>
        <v>0</v>
      </c>
      <c r="L37" t="str">
        <f>Šachty!X33</f>
        <v>Beton / Kompozit</v>
      </c>
      <c r="M37" t="str">
        <f>Šachty!Y33</f>
        <v>ŽB. šachta</v>
      </c>
      <c r="N37">
        <f>Šachty!Z33</f>
        <v>1</v>
      </c>
      <c r="O37" t="str">
        <f>Šachty!AA33</f>
        <v>Terén</v>
      </c>
      <c r="P37" s="34" t="str">
        <f>Šachty!AE33</f>
        <v>Ano</v>
      </c>
      <c r="Q37" s="47" t="str">
        <f>Šachty!AI33</f>
        <v>Ano</v>
      </c>
      <c r="R37" t="str">
        <f>Šachty!AL33</f>
        <v>ANO</v>
      </c>
      <c r="S37" t="s">
        <v>217</v>
      </c>
      <c r="T37">
        <f>IF(Šachty!AO33="ano",IF(S37="ano",1,0),0)</f>
        <v>1</v>
      </c>
      <c r="V37" s="34">
        <f t="shared" si="27"/>
        <v>15.341000000000003</v>
      </c>
      <c r="W37" s="34">
        <f t="shared" si="6"/>
        <v>0.14999999999999991</v>
      </c>
      <c r="X37" s="34">
        <f t="shared" si="16"/>
        <v>3.1430000000000038</v>
      </c>
      <c r="Y37" s="34">
        <f t="shared" si="17"/>
        <v>0</v>
      </c>
      <c r="Z37" s="34">
        <f t="shared" si="18"/>
        <v>3.1430000000000038</v>
      </c>
      <c r="AA37" s="34">
        <f t="shared" si="7"/>
        <v>16.809999999999999</v>
      </c>
      <c r="AB37" s="34">
        <f t="shared" si="8"/>
        <v>0.15</v>
      </c>
      <c r="AC37" s="34">
        <f t="shared" si="19"/>
        <v>2.5214999999999996</v>
      </c>
      <c r="AD37" s="2"/>
      <c r="AE37" s="2"/>
      <c r="AF37">
        <f t="shared" si="9"/>
        <v>1</v>
      </c>
      <c r="AG37" s="34">
        <f t="shared" si="20"/>
        <v>16</v>
      </c>
      <c r="AH37" s="34">
        <f t="shared" si="21"/>
        <v>27.93</v>
      </c>
      <c r="AI37" s="34"/>
      <c r="AJ37" s="90" t="str">
        <f t="shared" si="4"/>
        <v>Š15</v>
      </c>
      <c r="AM37" s="90" t="str">
        <f t="shared" si="10"/>
        <v>Š15</v>
      </c>
      <c r="AN37" t="str">
        <f t="shared" si="22"/>
        <v>Ano</v>
      </c>
      <c r="AO37" s="34">
        <f t="shared" si="23"/>
        <v>1</v>
      </c>
      <c r="AP37">
        <f t="shared" si="24"/>
        <v>33.69</v>
      </c>
      <c r="AR37" t="str">
        <f t="shared" si="28"/>
        <v>Ano</v>
      </c>
      <c r="AS37">
        <f t="shared" si="25"/>
        <v>67.38</v>
      </c>
      <c r="AT37" t="str">
        <f t="shared" si="29"/>
        <v>ANO</v>
      </c>
      <c r="AU37">
        <f t="shared" si="26"/>
        <v>16.809999999999999</v>
      </c>
      <c r="AV37" t="s">
        <v>184</v>
      </c>
      <c r="AW37">
        <f t="shared" si="13"/>
        <v>33.69</v>
      </c>
      <c r="AX37">
        <f t="shared" si="14"/>
        <v>33.69</v>
      </c>
    </row>
    <row r="38" spans="3:50" ht="15.75" x14ac:dyDescent="0.25">
      <c r="C38" s="90" t="str">
        <f>Šachty!J34</f>
        <v>Š16</v>
      </c>
      <c r="D38" s="47">
        <f>Šachty!K34</f>
        <v>1</v>
      </c>
      <c r="E38" s="47">
        <f>Šachty!M34</f>
        <v>0</v>
      </c>
      <c r="F38" s="34">
        <f>Šachty!N34</f>
        <v>3.5</v>
      </c>
      <c r="G38" s="34">
        <f>Šachty!O34</f>
        <v>2.2999999999999998</v>
      </c>
      <c r="H38" s="34">
        <f>Šachty!P34</f>
        <v>3.5</v>
      </c>
      <c r="I38" s="34">
        <f>Šachty!R34</f>
        <v>0.3</v>
      </c>
      <c r="J38" s="34">
        <f t="shared" si="15"/>
        <v>28.174999999999997</v>
      </c>
      <c r="K38" s="34">
        <f>Šachty!S34-J38</f>
        <v>0</v>
      </c>
      <c r="L38" t="str">
        <f>Šachty!X34</f>
        <v>Pro zadláždění</v>
      </c>
      <c r="M38" t="str">
        <f>Šachty!Y34</f>
        <v>ŽB. šachta</v>
      </c>
      <c r="N38">
        <f>Šachty!Z34</f>
        <v>1</v>
      </c>
      <c r="O38" t="str">
        <f>Šachty!AA34</f>
        <v>Nástupiště</v>
      </c>
      <c r="P38" s="34" t="str">
        <f>Šachty!AE34</f>
        <v>Ano</v>
      </c>
      <c r="Q38" s="47" t="str">
        <f>Šachty!AI34</f>
        <v>Ano</v>
      </c>
      <c r="R38" t="str">
        <f>Šachty!AL34</f>
        <v>ANO</v>
      </c>
      <c r="S38" t="s">
        <v>184</v>
      </c>
      <c r="T38">
        <f>IF(Šachty!AO34="ano",IF(S38="ano",1,0),0)</f>
        <v>1</v>
      </c>
      <c r="V38" s="34">
        <f t="shared" si="27"/>
        <v>33.300000000000004</v>
      </c>
      <c r="W38" s="34">
        <f t="shared" si="6"/>
        <v>0.14999999999999991</v>
      </c>
      <c r="X38" s="34">
        <f t="shared" si="16"/>
        <v>5.2750000000000075</v>
      </c>
      <c r="Y38" s="34">
        <f t="shared" si="17"/>
        <v>0</v>
      </c>
      <c r="Z38" s="34">
        <f t="shared" si="18"/>
        <v>5.2750000000000075</v>
      </c>
      <c r="AA38" s="34">
        <f t="shared" si="7"/>
        <v>23.65</v>
      </c>
      <c r="AB38" s="34">
        <f t="shared" si="8"/>
        <v>0.15</v>
      </c>
      <c r="AC38" s="34">
        <f t="shared" si="19"/>
        <v>3.5474999999999999</v>
      </c>
      <c r="AD38" s="2"/>
      <c r="AE38" s="2"/>
      <c r="AF38">
        <f t="shared" si="9"/>
        <v>1</v>
      </c>
      <c r="AG38" s="34">
        <f t="shared" si="20"/>
        <v>22.679999999999996</v>
      </c>
      <c r="AH38" s="34">
        <f t="shared" si="21"/>
        <v>48.649999999999991</v>
      </c>
      <c r="AI38" s="34"/>
      <c r="AJ38" s="90" t="str">
        <f t="shared" si="4"/>
        <v>Š16</v>
      </c>
      <c r="AM38" s="90" t="str">
        <f t="shared" si="10"/>
        <v>Š16</v>
      </c>
      <c r="AN38" t="str">
        <f t="shared" si="22"/>
        <v>Ano</v>
      </c>
      <c r="AO38" s="34">
        <f t="shared" si="23"/>
        <v>1</v>
      </c>
      <c r="AP38">
        <f t="shared" si="24"/>
        <v>58.529999999999994</v>
      </c>
      <c r="AR38" t="str">
        <f t="shared" si="28"/>
        <v>Ano</v>
      </c>
      <c r="AS38">
        <f t="shared" si="25"/>
        <v>117.05999999999999</v>
      </c>
      <c r="AT38" t="str">
        <f t="shared" si="29"/>
        <v>ANO</v>
      </c>
      <c r="AU38">
        <f t="shared" si="26"/>
        <v>23.65</v>
      </c>
      <c r="AV38" t="s">
        <v>184</v>
      </c>
      <c r="AW38">
        <f t="shared" si="13"/>
        <v>58.529999999999994</v>
      </c>
      <c r="AX38">
        <f t="shared" si="14"/>
        <v>58.529999999999994</v>
      </c>
    </row>
    <row r="39" spans="3:50" ht="15.75" x14ac:dyDescent="0.25">
      <c r="C39" s="90" t="str">
        <f>Šachty!J35</f>
        <v>Š17</v>
      </c>
      <c r="D39" s="47">
        <f>Šachty!K35</f>
        <v>1</v>
      </c>
      <c r="E39" s="47">
        <f>Šachty!M35</f>
        <v>0</v>
      </c>
      <c r="F39" s="34">
        <f>Šachty!N35</f>
        <v>2</v>
      </c>
      <c r="G39" s="34">
        <f>Šachty!O35</f>
        <v>2</v>
      </c>
      <c r="H39" s="34">
        <f>Šachty!P35</f>
        <v>2.8</v>
      </c>
      <c r="I39" s="34">
        <f>Šachty!R35</f>
        <v>0.35</v>
      </c>
      <c r="J39" s="34">
        <f t="shared" si="15"/>
        <v>11.2</v>
      </c>
      <c r="K39" s="34">
        <f>Šachty!S35-J39</f>
        <v>0</v>
      </c>
      <c r="L39" t="str">
        <f>Šachty!X35</f>
        <v>Pro zadláždění</v>
      </c>
      <c r="M39" t="str">
        <f>Šachty!Y35</f>
        <v>ŽB. šachta</v>
      </c>
      <c r="N39">
        <f>Šachty!Z35</f>
        <v>1</v>
      </c>
      <c r="O39" t="str">
        <f>Šachty!AA35</f>
        <v>Nástupiště</v>
      </c>
      <c r="P39" s="34" t="str">
        <f>Šachty!AE35</f>
        <v>Ano</v>
      </c>
      <c r="Q39" s="47" t="str">
        <f>Šachty!AI35</f>
        <v>Ano</v>
      </c>
      <c r="R39" t="str">
        <f>Šachty!AL35</f>
        <v>ANO</v>
      </c>
      <c r="S39" t="s">
        <v>249</v>
      </c>
      <c r="T39">
        <f>IF(Šachty!AO35="ano",IF(S39="ano",1,0),0)</f>
        <v>0</v>
      </c>
      <c r="V39" s="34">
        <f t="shared" si="27"/>
        <v>0</v>
      </c>
      <c r="W39" s="34">
        <f t="shared" si="6"/>
        <v>0.17499999999999993</v>
      </c>
      <c r="X39" s="34">
        <f t="shared" si="16"/>
        <v>0</v>
      </c>
      <c r="Y39" s="34">
        <f t="shared" si="17"/>
        <v>0</v>
      </c>
      <c r="Z39" s="34">
        <f t="shared" si="18"/>
        <v>0</v>
      </c>
      <c r="AA39" s="34">
        <f t="shared" si="7"/>
        <v>16</v>
      </c>
      <c r="AB39" s="34">
        <f t="shared" si="8"/>
        <v>0.15</v>
      </c>
      <c r="AC39" s="34">
        <f t="shared" si="19"/>
        <v>2.4</v>
      </c>
      <c r="AD39" s="2"/>
      <c r="AE39" s="2"/>
      <c r="AF39">
        <f t="shared" si="9"/>
        <v>1</v>
      </c>
      <c r="AG39" s="34">
        <f t="shared" si="20"/>
        <v>15.209999999999999</v>
      </c>
      <c r="AH39" s="34">
        <f t="shared" si="21"/>
        <v>0</v>
      </c>
      <c r="AI39" s="34"/>
      <c r="AJ39" s="90" t="str">
        <f t="shared" si="4"/>
        <v>Š17</v>
      </c>
      <c r="AM39" s="90" t="str">
        <f t="shared" si="10"/>
        <v>Š17</v>
      </c>
      <c r="AN39" t="str">
        <f t="shared" si="22"/>
        <v>Ano</v>
      </c>
      <c r="AO39" s="34">
        <f t="shared" si="23"/>
        <v>1</v>
      </c>
      <c r="AP39">
        <f t="shared" si="24"/>
        <v>31.689999999999998</v>
      </c>
      <c r="AR39" t="str">
        <f t="shared" si="28"/>
        <v>Ano</v>
      </c>
      <c r="AS39">
        <f t="shared" si="25"/>
        <v>63.379999999999995</v>
      </c>
      <c r="AT39" t="str">
        <f t="shared" si="29"/>
        <v>ANO</v>
      </c>
      <c r="AU39">
        <f t="shared" si="26"/>
        <v>16</v>
      </c>
      <c r="AV39" t="s">
        <v>184</v>
      </c>
      <c r="AW39">
        <f t="shared" si="13"/>
        <v>31.689999999999998</v>
      </c>
      <c r="AX39">
        <f t="shared" si="14"/>
        <v>31.689999999999998</v>
      </c>
    </row>
    <row r="40" spans="3:50" ht="15.75" x14ac:dyDescent="0.25">
      <c r="C40" s="90" t="str">
        <f>Šachty!J36</f>
        <v>Š17a</v>
      </c>
      <c r="D40" s="47">
        <f>Šachty!K36</f>
        <v>0</v>
      </c>
      <c r="E40" s="47">
        <f>Šachty!M36</f>
        <v>1</v>
      </c>
      <c r="F40" s="34">
        <f>Šachty!N36</f>
        <v>1.4359999999999999</v>
      </c>
      <c r="G40" s="34">
        <f>Šachty!O36</f>
        <v>0.97599999999999998</v>
      </c>
      <c r="H40" s="34">
        <f>Šachty!P36</f>
        <v>1.35</v>
      </c>
      <c r="I40" s="34">
        <f>Šachty!R36</f>
        <v>0</v>
      </c>
      <c r="J40" s="34">
        <f t="shared" si="15"/>
        <v>1.8920736</v>
      </c>
      <c r="K40" s="34">
        <f>Šachty!S36-J40</f>
        <v>0</v>
      </c>
      <c r="L40" t="str">
        <f>Šachty!X36</f>
        <v>Pro zadláždění</v>
      </c>
      <c r="M40" t="str">
        <f>Šachty!Y36</f>
        <v>pro pl. šachtu</v>
      </c>
      <c r="N40">
        <f>Šachty!Z36</f>
        <v>1</v>
      </c>
      <c r="O40" t="str">
        <f>Šachty!AA36</f>
        <v>Nástupiště</v>
      </c>
      <c r="P40" s="34" t="str">
        <f>Šachty!AE36</f>
        <v>NE</v>
      </c>
      <c r="Q40" s="47" t="str">
        <f>Šachty!AI36</f>
        <v>Ne</v>
      </c>
      <c r="R40">
        <f>Šachty!AL36</f>
        <v>0</v>
      </c>
      <c r="S40" t="s">
        <v>249</v>
      </c>
      <c r="T40">
        <f>IF(Šachty!AO36="ano",IF(S40="ano",1,0),0)</f>
        <v>0</v>
      </c>
      <c r="V40" s="34">
        <f t="shared" si="27"/>
        <v>3.1420735999999998</v>
      </c>
      <c r="W40" s="34">
        <f t="shared" si="6"/>
        <v>0</v>
      </c>
      <c r="X40" s="34">
        <f t="shared" si="16"/>
        <v>0</v>
      </c>
      <c r="Y40" s="34">
        <f t="shared" si="17"/>
        <v>1.25</v>
      </c>
      <c r="Z40" s="34">
        <f t="shared" si="18"/>
        <v>1.25</v>
      </c>
      <c r="AA40" s="34">
        <f t="shared" si="7"/>
        <v>7.2695359999999996</v>
      </c>
      <c r="AB40" s="34">
        <f t="shared" si="8"/>
        <v>0.1</v>
      </c>
      <c r="AC40" s="34">
        <f t="shared" si="19"/>
        <v>0.72695359999999998</v>
      </c>
      <c r="AD40" s="2"/>
      <c r="AE40" s="2"/>
      <c r="AF40">
        <f t="shared" si="9"/>
        <v>0</v>
      </c>
      <c r="AG40" s="34">
        <f t="shared" si="20"/>
        <v>0</v>
      </c>
      <c r="AH40" s="34">
        <f t="shared" si="21"/>
        <v>0</v>
      </c>
      <c r="AI40" s="34"/>
      <c r="AJ40" s="90" t="str">
        <f t="shared" si="4"/>
        <v>Š17a</v>
      </c>
      <c r="AM40" s="90" t="str">
        <f t="shared" si="10"/>
        <v>Š17a</v>
      </c>
      <c r="AN40" t="str">
        <f t="shared" si="22"/>
        <v>NE</v>
      </c>
      <c r="AO40" s="34">
        <f t="shared" si="23"/>
        <v>0</v>
      </c>
      <c r="AP40">
        <f t="shared" si="24"/>
        <v>0</v>
      </c>
      <c r="AR40" t="str">
        <f t="shared" si="28"/>
        <v>Ne</v>
      </c>
      <c r="AS40">
        <f t="shared" si="25"/>
        <v>0</v>
      </c>
      <c r="AT40">
        <f t="shared" si="29"/>
        <v>0</v>
      </c>
      <c r="AU40">
        <f t="shared" si="26"/>
        <v>0</v>
      </c>
      <c r="AW40">
        <f t="shared" si="13"/>
        <v>10.129072000000001</v>
      </c>
      <c r="AX40">
        <f t="shared" si="14"/>
        <v>0</v>
      </c>
    </row>
    <row r="41" spans="3:50" ht="15.75" x14ac:dyDescent="0.25">
      <c r="C41" s="90" t="str">
        <f>Šachty!J37</f>
        <v>Š18</v>
      </c>
      <c r="D41" s="47">
        <f>Šachty!K37</f>
        <v>1</v>
      </c>
      <c r="E41" s="47">
        <f>Šachty!M37</f>
        <v>0</v>
      </c>
      <c r="F41" s="34">
        <f>Šachty!N37</f>
        <v>2.85</v>
      </c>
      <c r="G41" s="34">
        <f>Šachty!O37</f>
        <v>1.9</v>
      </c>
      <c r="H41" s="34">
        <f>Šachty!P37</f>
        <v>2.8</v>
      </c>
      <c r="I41" s="34">
        <f>Šachty!R37</f>
        <v>0.35</v>
      </c>
      <c r="J41" s="34">
        <f t="shared" si="15"/>
        <v>15.161999999999999</v>
      </c>
      <c r="K41" s="34">
        <f>Šachty!S37-J41</f>
        <v>0</v>
      </c>
      <c r="L41" t="str">
        <f>Šachty!X37</f>
        <v>Pro zadláždění</v>
      </c>
      <c r="M41" t="str">
        <f>Šachty!Y37</f>
        <v>ŽB. šachta</v>
      </c>
      <c r="N41">
        <f>Šachty!Z37</f>
        <v>1</v>
      </c>
      <c r="O41" t="str">
        <f>Šachty!AA37</f>
        <v>Nástupiště</v>
      </c>
      <c r="P41" s="34" t="str">
        <f>Šachty!AE37</f>
        <v xml:space="preserve">Ano </v>
      </c>
      <c r="Q41" s="47" t="str">
        <f>Šachty!AI37</f>
        <v>Ano</v>
      </c>
      <c r="R41" t="str">
        <f>Šachty!AL37</f>
        <v>ANO</v>
      </c>
      <c r="S41" t="s">
        <v>249</v>
      </c>
      <c r="T41">
        <f>IF(Šachty!AO37="ano",IF(S41="ano",1,0),0)</f>
        <v>0</v>
      </c>
      <c r="V41" s="34">
        <f t="shared" si="27"/>
        <v>0</v>
      </c>
      <c r="W41" s="34">
        <f t="shared" si="6"/>
        <v>0.17499999999999993</v>
      </c>
      <c r="X41" s="34">
        <f t="shared" si="16"/>
        <v>0</v>
      </c>
      <c r="Y41" s="34">
        <f t="shared" si="17"/>
        <v>0</v>
      </c>
      <c r="Z41" s="34">
        <f t="shared" si="18"/>
        <v>0</v>
      </c>
      <c r="AA41" s="34">
        <f t="shared" si="7"/>
        <v>18.914999999999999</v>
      </c>
      <c r="AB41" s="34">
        <f t="shared" si="8"/>
        <v>0.15</v>
      </c>
      <c r="AC41" s="34">
        <f t="shared" si="19"/>
        <v>2.8372499999999996</v>
      </c>
      <c r="AD41" s="2"/>
      <c r="AE41" s="2"/>
      <c r="AF41">
        <f t="shared" si="9"/>
        <v>1</v>
      </c>
      <c r="AG41" s="34">
        <f t="shared" si="20"/>
        <v>18.05</v>
      </c>
      <c r="AH41" s="34">
        <f t="shared" si="21"/>
        <v>0</v>
      </c>
      <c r="AI41" s="34"/>
      <c r="AJ41" s="90" t="str">
        <f t="shared" si="4"/>
        <v>Š18</v>
      </c>
      <c r="AM41" s="90" t="str">
        <f t="shared" si="10"/>
        <v>Š18</v>
      </c>
      <c r="AN41" t="str">
        <f t="shared" si="22"/>
        <v xml:space="preserve">Ano </v>
      </c>
      <c r="AO41" s="34">
        <f t="shared" si="23"/>
        <v>1</v>
      </c>
      <c r="AP41">
        <f t="shared" si="24"/>
        <v>38.944999999999993</v>
      </c>
      <c r="AR41" t="str">
        <f t="shared" si="28"/>
        <v>Ano</v>
      </c>
      <c r="AS41">
        <f t="shared" si="25"/>
        <v>77.889999999999986</v>
      </c>
      <c r="AT41" t="str">
        <f t="shared" si="29"/>
        <v>ANO</v>
      </c>
      <c r="AU41">
        <f t="shared" si="26"/>
        <v>18.914999999999999</v>
      </c>
      <c r="AV41" t="s">
        <v>184</v>
      </c>
      <c r="AW41">
        <f t="shared" si="13"/>
        <v>38.944999999999993</v>
      </c>
      <c r="AX41">
        <f t="shared" si="14"/>
        <v>38.944999999999993</v>
      </c>
    </row>
    <row r="42" spans="3:50" ht="15.75" x14ac:dyDescent="0.25">
      <c r="C42" s="90" t="str">
        <f>Šachty!J38</f>
        <v>Š19</v>
      </c>
      <c r="D42" s="47">
        <f>Šachty!K38</f>
        <v>1</v>
      </c>
      <c r="E42" s="47">
        <f>Šachty!M38</f>
        <v>0</v>
      </c>
      <c r="F42" s="34">
        <f>Šachty!N38</f>
        <v>2.8</v>
      </c>
      <c r="G42" s="34">
        <f>Šachty!O38</f>
        <v>2.5</v>
      </c>
      <c r="H42" s="34">
        <f>Šachty!P38</f>
        <v>3.5</v>
      </c>
      <c r="I42" s="34">
        <f>Šachty!R38</f>
        <v>0.35</v>
      </c>
      <c r="J42" s="34">
        <f t="shared" si="15"/>
        <v>24.5</v>
      </c>
      <c r="K42" s="34">
        <f>Šachty!S38-J42</f>
        <v>0</v>
      </c>
      <c r="L42" t="str">
        <f>Šachty!X38</f>
        <v>Pro zadláždění</v>
      </c>
      <c r="M42" t="str">
        <f>Šachty!Y38</f>
        <v>ŽB. šachta</v>
      </c>
      <c r="N42">
        <f>Šachty!Z38</f>
        <v>1</v>
      </c>
      <c r="O42" t="str">
        <f>Šachty!AA38</f>
        <v>Nástupiště</v>
      </c>
      <c r="P42" s="34" t="str">
        <f>Šachty!AE38</f>
        <v>Ano</v>
      </c>
      <c r="Q42" s="47" t="str">
        <f>Šachty!AI38</f>
        <v>ano</v>
      </c>
      <c r="R42" t="str">
        <f>Šachty!AL38</f>
        <v>ANO</v>
      </c>
      <c r="S42" t="s">
        <v>184</v>
      </c>
      <c r="T42">
        <f>IF(Šachty!AO38="ano",IF(S42="ano",1,0),0)</f>
        <v>1</v>
      </c>
      <c r="V42" s="34">
        <f t="shared" si="27"/>
        <v>29.160000000000007</v>
      </c>
      <c r="W42" s="34">
        <f t="shared" si="6"/>
        <v>0.17499999999999993</v>
      </c>
      <c r="X42" s="34">
        <f t="shared" si="16"/>
        <v>4.8350000000000071</v>
      </c>
      <c r="Y42" s="34">
        <f t="shared" si="17"/>
        <v>0</v>
      </c>
      <c r="Z42" s="34">
        <f t="shared" si="18"/>
        <v>4.8350000000000071</v>
      </c>
      <c r="AA42" s="34">
        <f t="shared" si="7"/>
        <v>21.599999999999998</v>
      </c>
      <c r="AB42" s="34">
        <f t="shared" si="8"/>
        <v>0.15</v>
      </c>
      <c r="AC42" s="34">
        <f t="shared" si="19"/>
        <v>3.2399999999999998</v>
      </c>
      <c r="AD42" s="2"/>
      <c r="AE42" s="2"/>
      <c r="AF42">
        <f t="shared" si="9"/>
        <v>1</v>
      </c>
      <c r="AG42" s="34">
        <f t="shared" si="20"/>
        <v>20.68</v>
      </c>
      <c r="AH42" s="34">
        <f t="shared" si="21"/>
        <v>44.099999999999994</v>
      </c>
      <c r="AI42" s="34"/>
      <c r="AJ42" s="90" t="str">
        <f t="shared" si="4"/>
        <v>Š19</v>
      </c>
      <c r="AM42" s="90" t="str">
        <f t="shared" si="10"/>
        <v>Š19</v>
      </c>
      <c r="AN42" t="str">
        <f t="shared" si="22"/>
        <v>Ano</v>
      </c>
      <c r="AO42" s="34">
        <f t="shared" si="23"/>
        <v>1</v>
      </c>
      <c r="AP42">
        <f t="shared" si="24"/>
        <v>52.779999999999994</v>
      </c>
      <c r="AR42" t="str">
        <f t="shared" si="28"/>
        <v>ano</v>
      </c>
      <c r="AS42">
        <f t="shared" si="25"/>
        <v>105.55999999999999</v>
      </c>
      <c r="AT42" t="str">
        <f t="shared" si="29"/>
        <v>ANO</v>
      </c>
      <c r="AU42">
        <f t="shared" si="26"/>
        <v>21.599999999999998</v>
      </c>
      <c r="AV42" t="s">
        <v>184</v>
      </c>
      <c r="AW42">
        <f t="shared" si="13"/>
        <v>52.779999999999994</v>
      </c>
      <c r="AX42">
        <f t="shared" si="14"/>
        <v>52.779999999999994</v>
      </c>
    </row>
    <row r="43" spans="3:50" ht="15.75" x14ac:dyDescent="0.25">
      <c r="C43" s="90" t="str">
        <f>Šachty!J39</f>
        <v>Š19a</v>
      </c>
      <c r="D43" s="47">
        <f>Šachty!K39</f>
        <v>0</v>
      </c>
      <c r="E43" s="47">
        <f>Šachty!M39</f>
        <v>1</v>
      </c>
      <c r="F43" s="34">
        <f>Šachty!N39</f>
        <v>1.4359999999999999</v>
      </c>
      <c r="G43" s="34">
        <f>Šachty!O39</f>
        <v>0.97599999999999998</v>
      </c>
      <c r="H43" s="34">
        <f>Šachty!P39</f>
        <v>1.35</v>
      </c>
      <c r="I43" s="34">
        <f>Šachty!R39</f>
        <v>0</v>
      </c>
      <c r="J43" s="34">
        <f t="shared" si="15"/>
        <v>1.8920736</v>
      </c>
      <c r="K43" s="34">
        <f>Šachty!S39-J43</f>
        <v>0</v>
      </c>
      <c r="L43" t="str">
        <f>Šachty!X39</f>
        <v>Pro zadláždění</v>
      </c>
      <c r="M43" t="str">
        <f>Šachty!Y39</f>
        <v>pro pl. šachtu</v>
      </c>
      <c r="N43">
        <f>Šachty!Z39</f>
        <v>1</v>
      </c>
      <c r="O43" t="str">
        <f>Šachty!AA39</f>
        <v>Nástupiště</v>
      </c>
      <c r="P43" s="34" t="str">
        <f>Šachty!AE39</f>
        <v>NE</v>
      </c>
      <c r="Q43" s="47" t="str">
        <f>Šachty!AI39</f>
        <v>NE</v>
      </c>
      <c r="R43" t="str">
        <f>Šachty!AL39</f>
        <v>ANO</v>
      </c>
      <c r="S43" t="s">
        <v>249</v>
      </c>
      <c r="T43">
        <f>IF(Šachty!AO39="ano",IF(S43="ano",1,0),0)</f>
        <v>0</v>
      </c>
      <c r="V43" s="34">
        <f t="shared" si="27"/>
        <v>3.1420735999999998</v>
      </c>
      <c r="W43" s="34">
        <f t="shared" si="6"/>
        <v>0</v>
      </c>
      <c r="X43" s="34">
        <f t="shared" si="16"/>
        <v>0</v>
      </c>
      <c r="Y43" s="34">
        <f t="shared" si="17"/>
        <v>1.25</v>
      </c>
      <c r="Z43" s="34">
        <f t="shared" si="18"/>
        <v>1.25</v>
      </c>
      <c r="AA43" s="34">
        <f t="shared" si="7"/>
        <v>7.2695359999999996</v>
      </c>
      <c r="AB43" s="34">
        <f t="shared" si="8"/>
        <v>0.1</v>
      </c>
      <c r="AC43" s="34">
        <f t="shared" si="19"/>
        <v>0.72695359999999998</v>
      </c>
      <c r="AD43" s="2"/>
      <c r="AE43" s="2"/>
      <c r="AF43">
        <f t="shared" si="9"/>
        <v>0</v>
      </c>
      <c r="AG43" s="34">
        <f t="shared" si="20"/>
        <v>0</v>
      </c>
      <c r="AH43" s="34">
        <f t="shared" si="21"/>
        <v>0</v>
      </c>
      <c r="AI43" s="34"/>
      <c r="AJ43" s="90" t="str">
        <f t="shared" si="4"/>
        <v>Š19a</v>
      </c>
      <c r="AM43" s="90" t="str">
        <f t="shared" si="10"/>
        <v>Š19a</v>
      </c>
      <c r="AN43" t="str">
        <f t="shared" si="22"/>
        <v>NE</v>
      </c>
      <c r="AO43" s="34">
        <f t="shared" si="23"/>
        <v>0</v>
      </c>
      <c r="AP43">
        <f t="shared" si="24"/>
        <v>0</v>
      </c>
      <c r="AR43" t="str">
        <f t="shared" si="28"/>
        <v>NE</v>
      </c>
      <c r="AS43">
        <f t="shared" si="25"/>
        <v>0</v>
      </c>
      <c r="AU43">
        <f t="shared" si="26"/>
        <v>0</v>
      </c>
      <c r="AW43">
        <f t="shared" si="13"/>
        <v>10.129072000000001</v>
      </c>
      <c r="AX43">
        <f t="shared" si="14"/>
        <v>0</v>
      </c>
    </row>
    <row r="44" spans="3:50" ht="15.75" x14ac:dyDescent="0.25">
      <c r="C44" s="90" t="str">
        <f>Šachty!J40</f>
        <v>Š19b</v>
      </c>
      <c r="D44" s="47">
        <f>Šachty!K40</f>
        <v>0</v>
      </c>
      <c r="E44" s="47">
        <f>Šachty!M40</f>
        <v>1</v>
      </c>
      <c r="F44" s="34">
        <f>Šachty!N40</f>
        <v>1.4359999999999999</v>
      </c>
      <c r="G44" s="34">
        <f>Šachty!O40</f>
        <v>0.97599999999999998</v>
      </c>
      <c r="H44" s="34">
        <f>Šachty!P40</f>
        <v>1.35</v>
      </c>
      <c r="I44" s="34">
        <f>Šachty!R40</f>
        <v>0</v>
      </c>
      <c r="J44" s="34">
        <f t="shared" si="15"/>
        <v>1.8920736</v>
      </c>
      <c r="K44" s="34">
        <f>Šachty!S40-J44</f>
        <v>0</v>
      </c>
      <c r="L44" t="str">
        <f>Šachty!X40</f>
        <v>Pro zadláždění</v>
      </c>
      <c r="M44" t="str">
        <f>Šachty!Y40</f>
        <v>pro pl. šachtu</v>
      </c>
      <c r="N44">
        <f>Šachty!Z40</f>
        <v>1</v>
      </c>
      <c r="O44" t="str">
        <f>Šachty!AA40</f>
        <v>Nástupiště</v>
      </c>
      <c r="P44" s="34" t="str">
        <f>Šachty!AE40</f>
        <v>Ne</v>
      </c>
      <c r="Q44" s="47" t="str">
        <f>Šachty!AI40</f>
        <v>ne</v>
      </c>
      <c r="R44">
        <f>Šachty!AL40</f>
        <v>0</v>
      </c>
      <c r="S44" t="s">
        <v>249</v>
      </c>
      <c r="T44">
        <f>IF(Šachty!AO40="ano",IF(S44="ano",1,0),0)</f>
        <v>0</v>
      </c>
      <c r="V44" s="34">
        <f t="shared" si="27"/>
        <v>3.1420735999999998</v>
      </c>
      <c r="W44" s="34">
        <f t="shared" si="6"/>
        <v>0</v>
      </c>
      <c r="X44" s="34">
        <f t="shared" si="16"/>
        <v>0</v>
      </c>
      <c r="Y44" s="34">
        <f t="shared" si="17"/>
        <v>1.25</v>
      </c>
      <c r="Z44" s="34">
        <f t="shared" si="18"/>
        <v>1.25</v>
      </c>
      <c r="AA44" s="34">
        <f t="shared" si="7"/>
        <v>7.2695359999999996</v>
      </c>
      <c r="AB44" s="34">
        <f t="shared" si="8"/>
        <v>0.1</v>
      </c>
      <c r="AC44" s="34">
        <f t="shared" si="19"/>
        <v>0.72695359999999998</v>
      </c>
      <c r="AD44" s="2"/>
      <c r="AE44" s="2"/>
      <c r="AF44">
        <f t="shared" si="9"/>
        <v>0</v>
      </c>
      <c r="AG44" s="34">
        <f t="shared" si="20"/>
        <v>0</v>
      </c>
      <c r="AH44" s="34">
        <f t="shared" si="21"/>
        <v>0</v>
      </c>
      <c r="AI44" s="34"/>
      <c r="AJ44" s="90" t="str">
        <f t="shared" si="4"/>
        <v>Š19b</v>
      </c>
      <c r="AM44" s="90" t="str">
        <f t="shared" si="10"/>
        <v>Š19b</v>
      </c>
      <c r="AN44" t="str">
        <f t="shared" si="22"/>
        <v>Ne</v>
      </c>
      <c r="AO44" s="34">
        <f t="shared" si="23"/>
        <v>0</v>
      </c>
      <c r="AP44">
        <f t="shared" si="24"/>
        <v>0</v>
      </c>
      <c r="AR44" t="str">
        <f t="shared" si="28"/>
        <v>ne</v>
      </c>
      <c r="AS44">
        <f t="shared" si="25"/>
        <v>0</v>
      </c>
      <c r="AT44">
        <f t="shared" si="29"/>
        <v>0</v>
      </c>
      <c r="AU44">
        <f t="shared" si="26"/>
        <v>0</v>
      </c>
      <c r="AW44">
        <f t="shared" si="13"/>
        <v>10.129072000000001</v>
      </c>
      <c r="AX44">
        <f t="shared" si="14"/>
        <v>0</v>
      </c>
    </row>
    <row r="45" spans="3:50" ht="15.75" x14ac:dyDescent="0.25">
      <c r="C45" s="90" t="str">
        <f>Šachty!J41</f>
        <v>Š20</v>
      </c>
      <c r="D45" s="47">
        <f>Šachty!K41</f>
        <v>1</v>
      </c>
      <c r="E45" s="47">
        <f>Šachty!M41</f>
        <v>0</v>
      </c>
      <c r="F45" s="34">
        <f>Šachty!N41</f>
        <v>2.6</v>
      </c>
      <c r="G45" s="34">
        <f>Šachty!O41</f>
        <v>2.1</v>
      </c>
      <c r="H45" s="34">
        <f>Šachty!P41</f>
        <v>3.5</v>
      </c>
      <c r="I45" s="34">
        <f>Šachty!R41</f>
        <v>0.35</v>
      </c>
      <c r="J45" s="34">
        <f t="shared" si="15"/>
        <v>19.110000000000003</v>
      </c>
      <c r="K45" s="34">
        <f>Šachty!S41-J45</f>
        <v>0</v>
      </c>
      <c r="L45" t="str">
        <f>Šachty!X41</f>
        <v>Pro zadláždění</v>
      </c>
      <c r="M45" t="str">
        <f>Šachty!Y41</f>
        <v>ŽB. šachta</v>
      </c>
      <c r="N45">
        <f>Šachty!Z41</f>
        <v>1</v>
      </c>
      <c r="O45" t="str">
        <f>Šachty!AA41</f>
        <v>Nástupiště</v>
      </c>
      <c r="P45" s="34" t="str">
        <f>Šachty!AE41</f>
        <v>Ano</v>
      </c>
      <c r="Q45" s="47" t="str">
        <f>Šachty!AI41</f>
        <v>ano</v>
      </c>
      <c r="R45" t="str">
        <f>Šachty!AL41</f>
        <v>ANO</v>
      </c>
      <c r="S45" t="s">
        <v>184</v>
      </c>
      <c r="T45">
        <f>IF(Šachty!AO41="ano",IF(S45="ano",1,0),0)</f>
        <v>1</v>
      </c>
      <c r="V45" s="34">
        <f t="shared" si="27"/>
        <v>23.184000000000005</v>
      </c>
      <c r="W45" s="34">
        <f t="shared" si="6"/>
        <v>0.17499999999999993</v>
      </c>
      <c r="X45" s="34">
        <f t="shared" si="16"/>
        <v>4.2490000000000014</v>
      </c>
      <c r="Y45" s="34">
        <f t="shared" si="17"/>
        <v>0</v>
      </c>
      <c r="Z45" s="34">
        <f t="shared" si="18"/>
        <v>4.2490000000000014</v>
      </c>
      <c r="AA45" s="34">
        <f t="shared" si="7"/>
        <v>18.859999999999996</v>
      </c>
      <c r="AB45" s="34">
        <f t="shared" si="8"/>
        <v>0.15</v>
      </c>
      <c r="AC45" s="34">
        <f t="shared" si="19"/>
        <v>2.8289999999999993</v>
      </c>
      <c r="AD45" s="2"/>
      <c r="AE45" s="2"/>
      <c r="AF45">
        <f t="shared" si="9"/>
        <v>1</v>
      </c>
      <c r="AG45" s="34">
        <f t="shared" si="20"/>
        <v>18</v>
      </c>
      <c r="AH45" s="34">
        <f t="shared" si="21"/>
        <v>38.36</v>
      </c>
      <c r="AI45" s="34"/>
      <c r="AJ45" s="90" t="str">
        <f t="shared" si="4"/>
        <v>Š20</v>
      </c>
      <c r="AM45" s="90" t="str">
        <f t="shared" si="10"/>
        <v>Š20</v>
      </c>
      <c r="AN45" t="str">
        <f t="shared" si="22"/>
        <v>Ano</v>
      </c>
      <c r="AO45" s="34">
        <f t="shared" si="23"/>
        <v>1</v>
      </c>
      <c r="AP45">
        <f t="shared" si="24"/>
        <v>45.32</v>
      </c>
      <c r="AR45" t="str">
        <f t="shared" si="28"/>
        <v>ano</v>
      </c>
      <c r="AS45">
        <f t="shared" si="25"/>
        <v>90.64</v>
      </c>
      <c r="AT45" t="str">
        <f t="shared" si="29"/>
        <v>ANO</v>
      </c>
      <c r="AU45">
        <f t="shared" si="26"/>
        <v>18.859999999999996</v>
      </c>
      <c r="AV45" t="s">
        <v>184</v>
      </c>
      <c r="AW45">
        <f t="shared" si="13"/>
        <v>45.32</v>
      </c>
      <c r="AX45">
        <f t="shared" si="14"/>
        <v>45.32</v>
      </c>
    </row>
    <row r="46" spans="3:50" ht="15.75" x14ac:dyDescent="0.25">
      <c r="C46" s="90" t="str">
        <f>Šachty!J42</f>
        <v>Š20a</v>
      </c>
      <c r="D46" s="47">
        <f>Šachty!K42</f>
        <v>0</v>
      </c>
      <c r="E46" s="47">
        <f>Šachty!M42</f>
        <v>1</v>
      </c>
      <c r="F46" s="34">
        <f>Šachty!N42</f>
        <v>1.4359999999999999</v>
      </c>
      <c r="G46" s="34">
        <f>Šachty!O42</f>
        <v>0.97599999999999998</v>
      </c>
      <c r="H46" s="34">
        <f>Šachty!P42</f>
        <v>1.35</v>
      </c>
      <c r="I46" s="34">
        <f>Šachty!R42</f>
        <v>0</v>
      </c>
      <c r="J46" s="34">
        <f t="shared" si="15"/>
        <v>1.8920736</v>
      </c>
      <c r="K46" s="34">
        <f>Šachty!S42-J46</f>
        <v>0</v>
      </c>
      <c r="L46" t="str">
        <f>Šachty!X42</f>
        <v>Pro zadláždění</v>
      </c>
      <c r="M46" t="str">
        <f>Šachty!Y42</f>
        <v>pro pl. šachtu</v>
      </c>
      <c r="N46">
        <f>Šachty!Z42</f>
        <v>1</v>
      </c>
      <c r="O46" t="str">
        <f>Šachty!AA42</f>
        <v>Nástupiště</v>
      </c>
      <c r="P46" s="34" t="str">
        <f>Šachty!AE42</f>
        <v>NE</v>
      </c>
      <c r="Q46" s="47" t="str">
        <f>Šachty!AI42</f>
        <v>NE</v>
      </c>
      <c r="R46" t="str">
        <f>Šachty!AL42</f>
        <v>ANO</v>
      </c>
      <c r="S46" t="s">
        <v>249</v>
      </c>
      <c r="T46">
        <f>IF(Šachty!AO42="ano",IF(S46="ano",1,0),0)</f>
        <v>0</v>
      </c>
      <c r="V46" s="34">
        <f t="shared" si="27"/>
        <v>3.1420735999999998</v>
      </c>
      <c r="W46" s="34">
        <f t="shared" si="6"/>
        <v>0</v>
      </c>
      <c r="X46" s="34">
        <f t="shared" si="16"/>
        <v>0</v>
      </c>
      <c r="Y46" s="34">
        <f t="shared" si="17"/>
        <v>1.25</v>
      </c>
      <c r="Z46" s="34">
        <f t="shared" si="18"/>
        <v>1.25</v>
      </c>
      <c r="AA46" s="34">
        <f t="shared" si="7"/>
        <v>7.2695359999999996</v>
      </c>
      <c r="AB46" s="34">
        <f t="shared" si="8"/>
        <v>0.1</v>
      </c>
      <c r="AC46" s="34">
        <f t="shared" si="19"/>
        <v>0.72695359999999998</v>
      </c>
      <c r="AD46" s="2"/>
      <c r="AE46" s="2"/>
      <c r="AF46">
        <f t="shared" si="9"/>
        <v>0</v>
      </c>
      <c r="AG46" s="34">
        <f t="shared" si="20"/>
        <v>0</v>
      </c>
      <c r="AH46" s="34">
        <f t="shared" si="21"/>
        <v>0</v>
      </c>
      <c r="AI46" s="34"/>
      <c r="AJ46" s="90" t="str">
        <f t="shared" si="4"/>
        <v>Š20a</v>
      </c>
      <c r="AM46" s="90" t="str">
        <f t="shared" si="10"/>
        <v>Š20a</v>
      </c>
      <c r="AN46" t="str">
        <f t="shared" si="22"/>
        <v>NE</v>
      </c>
      <c r="AO46" s="34">
        <f t="shared" si="23"/>
        <v>0</v>
      </c>
      <c r="AP46">
        <f t="shared" si="24"/>
        <v>0</v>
      </c>
      <c r="AR46" t="str">
        <f t="shared" si="28"/>
        <v>NE</v>
      </c>
      <c r="AS46">
        <f t="shared" si="25"/>
        <v>0</v>
      </c>
      <c r="AU46">
        <f t="shared" si="26"/>
        <v>0</v>
      </c>
      <c r="AW46">
        <f t="shared" si="13"/>
        <v>10.129072000000001</v>
      </c>
      <c r="AX46">
        <f t="shared" si="14"/>
        <v>0</v>
      </c>
    </row>
    <row r="47" spans="3:50" ht="15.75" x14ac:dyDescent="0.25">
      <c r="C47" s="90" t="str">
        <f>Šachty!J43</f>
        <v>Š20b</v>
      </c>
      <c r="D47" s="47">
        <f>Šachty!K43</f>
        <v>0</v>
      </c>
      <c r="E47" s="47">
        <f>Šachty!M43</f>
        <v>1</v>
      </c>
      <c r="F47" s="34">
        <f>Šachty!N43</f>
        <v>1.4359999999999999</v>
      </c>
      <c r="G47" s="34">
        <f>Šachty!O43</f>
        <v>0.97599999999999998</v>
      </c>
      <c r="H47" s="34">
        <f>Šachty!P43</f>
        <v>1.35</v>
      </c>
      <c r="I47" s="34">
        <f>Šachty!R43</f>
        <v>0</v>
      </c>
      <c r="J47" s="34">
        <f t="shared" si="15"/>
        <v>1.8920736</v>
      </c>
      <c r="K47" s="34">
        <f>Šachty!S43-J47</f>
        <v>0</v>
      </c>
      <c r="L47" t="str">
        <f>Šachty!X43</f>
        <v>Pro zadláždění</v>
      </c>
      <c r="M47" t="str">
        <f>Šachty!Y43</f>
        <v>pro pl. šachtu</v>
      </c>
      <c r="N47">
        <f>Šachty!Z43</f>
        <v>1</v>
      </c>
      <c r="O47" t="str">
        <f>Šachty!AA43</f>
        <v>Nástupiště</v>
      </c>
      <c r="P47" s="34" t="str">
        <f>Šachty!AE43</f>
        <v>ne</v>
      </c>
      <c r="Q47" s="47" t="str">
        <f>Šachty!AI43</f>
        <v>ne</v>
      </c>
      <c r="R47">
        <f>Šachty!AL43</f>
        <v>0</v>
      </c>
      <c r="S47" t="s">
        <v>249</v>
      </c>
      <c r="T47">
        <f>IF(Šachty!AO43="ano",IF(S47="ano",1,0),0)</f>
        <v>0</v>
      </c>
      <c r="V47" s="34">
        <f t="shared" si="27"/>
        <v>3.1420735999999998</v>
      </c>
      <c r="W47" s="34">
        <f t="shared" si="6"/>
        <v>0</v>
      </c>
      <c r="X47" s="34">
        <f t="shared" si="16"/>
        <v>0</v>
      </c>
      <c r="Y47" s="34">
        <f t="shared" si="17"/>
        <v>1.25</v>
      </c>
      <c r="Z47" s="34">
        <f t="shared" si="18"/>
        <v>1.25</v>
      </c>
      <c r="AA47" s="34">
        <f t="shared" si="7"/>
        <v>7.2695359999999996</v>
      </c>
      <c r="AB47" s="34">
        <f t="shared" si="8"/>
        <v>0.1</v>
      </c>
      <c r="AC47" s="34">
        <f t="shared" si="19"/>
        <v>0.72695359999999998</v>
      </c>
      <c r="AD47" s="2"/>
      <c r="AE47" s="2"/>
      <c r="AF47">
        <f t="shared" si="9"/>
        <v>0</v>
      </c>
      <c r="AG47" s="34">
        <f t="shared" si="20"/>
        <v>0</v>
      </c>
      <c r="AH47" s="34">
        <f t="shared" si="21"/>
        <v>0</v>
      </c>
      <c r="AI47" s="34"/>
      <c r="AJ47" s="90" t="str">
        <f t="shared" si="4"/>
        <v>Š20b</v>
      </c>
      <c r="AM47" s="90" t="str">
        <f t="shared" si="10"/>
        <v>Š20b</v>
      </c>
      <c r="AN47" t="str">
        <f t="shared" si="22"/>
        <v>ne</v>
      </c>
      <c r="AO47" s="34">
        <f t="shared" si="23"/>
        <v>0</v>
      </c>
      <c r="AP47">
        <f t="shared" si="24"/>
        <v>0</v>
      </c>
      <c r="AR47" t="str">
        <f t="shared" si="28"/>
        <v>ne</v>
      </c>
      <c r="AS47">
        <f t="shared" si="25"/>
        <v>0</v>
      </c>
      <c r="AT47">
        <f t="shared" si="29"/>
        <v>0</v>
      </c>
      <c r="AU47">
        <f t="shared" si="26"/>
        <v>0</v>
      </c>
      <c r="AW47">
        <f t="shared" si="13"/>
        <v>10.129072000000001</v>
      </c>
      <c r="AX47">
        <f t="shared" si="14"/>
        <v>0</v>
      </c>
    </row>
    <row r="48" spans="3:50" ht="15.75" x14ac:dyDescent="0.25">
      <c r="C48" s="90" t="str">
        <f>Šachty!J44</f>
        <v>Š21</v>
      </c>
      <c r="D48" s="47">
        <f>Šachty!K44</f>
        <v>1</v>
      </c>
      <c r="E48" s="47">
        <f>Šachty!M44</f>
        <v>0</v>
      </c>
      <c r="F48" s="34">
        <f>Šachty!N44</f>
        <v>2.6</v>
      </c>
      <c r="G48" s="34">
        <f>Šachty!O44</f>
        <v>2.1</v>
      </c>
      <c r="H48" s="34">
        <f>Šachty!P44</f>
        <v>3.5</v>
      </c>
      <c r="I48" s="34">
        <f>Šachty!R44</f>
        <v>0.35</v>
      </c>
      <c r="J48" s="34">
        <f t="shared" si="15"/>
        <v>19.110000000000003</v>
      </c>
      <c r="K48" s="34">
        <f>Šachty!S44-J48</f>
        <v>0</v>
      </c>
      <c r="L48" t="str">
        <f>Šachty!X44</f>
        <v>Pro zadláždění</v>
      </c>
      <c r="M48" t="str">
        <f>Šachty!Y44</f>
        <v>ŽB. šachta</v>
      </c>
      <c r="N48">
        <f>Šachty!Z44</f>
        <v>1</v>
      </c>
      <c r="O48" t="str">
        <f>Šachty!AA44</f>
        <v>Nástupiště</v>
      </c>
      <c r="P48" s="34" t="str">
        <f>Šachty!AE44</f>
        <v>ano</v>
      </c>
      <c r="Q48" s="47" t="str">
        <f>Šachty!AI44</f>
        <v>ano</v>
      </c>
      <c r="R48" t="str">
        <f>Šachty!AL44</f>
        <v>ANO</v>
      </c>
      <c r="S48" t="s">
        <v>184</v>
      </c>
      <c r="T48">
        <f>IF(Šachty!AO44="ano",IF(S48="ano",1,0),0)</f>
        <v>1</v>
      </c>
      <c r="V48" s="34">
        <f t="shared" si="27"/>
        <v>23.184000000000005</v>
      </c>
      <c r="W48" s="34">
        <f t="shared" si="6"/>
        <v>0.17499999999999993</v>
      </c>
      <c r="X48" s="34">
        <f t="shared" si="16"/>
        <v>4.2490000000000014</v>
      </c>
      <c r="Y48" s="34">
        <f t="shared" si="17"/>
        <v>0</v>
      </c>
      <c r="Z48" s="34">
        <f t="shared" si="18"/>
        <v>4.2490000000000014</v>
      </c>
      <c r="AA48" s="34">
        <f t="shared" si="7"/>
        <v>18.859999999999996</v>
      </c>
      <c r="AB48" s="34">
        <f t="shared" si="8"/>
        <v>0.15</v>
      </c>
      <c r="AC48" s="34">
        <f t="shared" si="19"/>
        <v>2.8289999999999993</v>
      </c>
      <c r="AD48" s="2"/>
      <c r="AE48" s="2"/>
      <c r="AF48">
        <f t="shared" si="9"/>
        <v>1</v>
      </c>
      <c r="AG48" s="34">
        <f t="shared" si="20"/>
        <v>18</v>
      </c>
      <c r="AH48" s="34">
        <f t="shared" si="21"/>
        <v>38.36</v>
      </c>
      <c r="AI48" s="34"/>
      <c r="AJ48" s="90" t="str">
        <f t="shared" si="4"/>
        <v>Š21</v>
      </c>
      <c r="AM48" s="90" t="str">
        <f t="shared" si="10"/>
        <v>Š21</v>
      </c>
      <c r="AN48" t="str">
        <f t="shared" si="22"/>
        <v>ano</v>
      </c>
      <c r="AO48" s="34">
        <f t="shared" si="23"/>
        <v>1</v>
      </c>
      <c r="AP48">
        <f t="shared" si="24"/>
        <v>45.32</v>
      </c>
      <c r="AR48" t="str">
        <f t="shared" si="28"/>
        <v>ano</v>
      </c>
      <c r="AS48">
        <f t="shared" si="25"/>
        <v>90.64</v>
      </c>
      <c r="AT48" t="str">
        <f t="shared" si="29"/>
        <v>ANO</v>
      </c>
      <c r="AU48">
        <f t="shared" si="26"/>
        <v>18.859999999999996</v>
      </c>
      <c r="AV48" t="s">
        <v>184</v>
      </c>
      <c r="AW48">
        <f t="shared" si="13"/>
        <v>45.32</v>
      </c>
      <c r="AX48">
        <f t="shared" si="14"/>
        <v>45.32</v>
      </c>
    </row>
    <row r="49" spans="3:50" ht="15.75" x14ac:dyDescent="0.25">
      <c r="C49" s="90" t="str">
        <f>Šachty!J45</f>
        <v>Š21a</v>
      </c>
      <c r="D49" s="47">
        <f>Šachty!K45</f>
        <v>0</v>
      </c>
      <c r="E49" s="47">
        <f>Šachty!M45</f>
        <v>1</v>
      </c>
      <c r="F49" s="34">
        <f>Šachty!N45</f>
        <v>1.4359999999999999</v>
      </c>
      <c r="G49" s="34">
        <f>Šachty!O45</f>
        <v>0.97599999999999998</v>
      </c>
      <c r="H49" s="34">
        <f>Šachty!P45</f>
        <v>1.35</v>
      </c>
      <c r="I49" s="34">
        <f>Šachty!R45</f>
        <v>0</v>
      </c>
      <c r="J49" s="34">
        <f t="shared" si="15"/>
        <v>1.8920736</v>
      </c>
      <c r="K49" s="34">
        <f>Šachty!S45-J49</f>
        <v>17.217926400000003</v>
      </c>
      <c r="L49" t="str">
        <f>Šachty!X45</f>
        <v>Pro zadláždění</v>
      </c>
      <c r="M49" t="str">
        <f>Šachty!Y45</f>
        <v>pro pl. šachtu</v>
      </c>
      <c r="N49">
        <f>Šachty!Z45</f>
        <v>1</v>
      </c>
      <c r="O49" t="str">
        <f>Šachty!AA45</f>
        <v>Nástupiště</v>
      </c>
      <c r="P49" s="34" t="str">
        <f>Šachty!AE45</f>
        <v>NE</v>
      </c>
      <c r="Q49" s="47" t="str">
        <f>Šachty!AI45</f>
        <v>NE</v>
      </c>
      <c r="R49" t="str">
        <f>Šachty!AL45</f>
        <v>ANO</v>
      </c>
      <c r="S49" t="s">
        <v>249</v>
      </c>
      <c r="T49">
        <f>IF(Šachty!AO45="ano",IF(S49="ano",1,0),0)</f>
        <v>0</v>
      </c>
      <c r="V49" s="34">
        <f t="shared" si="27"/>
        <v>3.1420735999999998</v>
      </c>
      <c r="W49" s="34">
        <f t="shared" si="6"/>
        <v>0</v>
      </c>
      <c r="X49" s="34">
        <f t="shared" si="16"/>
        <v>0</v>
      </c>
      <c r="Y49" s="34">
        <f t="shared" si="17"/>
        <v>1.25</v>
      </c>
      <c r="Z49" s="34">
        <f t="shared" si="18"/>
        <v>1.25</v>
      </c>
      <c r="AA49" s="34">
        <f t="shared" si="7"/>
        <v>7.2695359999999996</v>
      </c>
      <c r="AB49" s="34">
        <f t="shared" si="8"/>
        <v>0.1</v>
      </c>
      <c r="AC49" s="34">
        <f t="shared" si="19"/>
        <v>0.72695359999999998</v>
      </c>
      <c r="AD49" s="2"/>
      <c r="AE49" s="2"/>
      <c r="AF49">
        <f t="shared" si="9"/>
        <v>0</v>
      </c>
      <c r="AG49" s="34">
        <f t="shared" si="20"/>
        <v>0</v>
      </c>
      <c r="AH49" s="34">
        <f t="shared" si="21"/>
        <v>0</v>
      </c>
      <c r="AI49" s="34"/>
      <c r="AJ49" s="90" t="str">
        <f t="shared" si="4"/>
        <v>Š21a</v>
      </c>
      <c r="AM49" s="90" t="str">
        <f t="shared" si="10"/>
        <v>Š21a</v>
      </c>
      <c r="AN49" t="str">
        <f t="shared" si="22"/>
        <v>NE</v>
      </c>
      <c r="AO49" s="34">
        <f t="shared" si="23"/>
        <v>0</v>
      </c>
      <c r="AP49">
        <f t="shared" si="24"/>
        <v>0</v>
      </c>
      <c r="AR49" t="str">
        <f t="shared" si="28"/>
        <v>NE</v>
      </c>
      <c r="AS49">
        <f t="shared" si="25"/>
        <v>0</v>
      </c>
      <c r="AU49">
        <f t="shared" si="26"/>
        <v>0</v>
      </c>
      <c r="AW49">
        <f t="shared" si="13"/>
        <v>10.129072000000001</v>
      </c>
      <c r="AX49">
        <f t="shared" si="14"/>
        <v>0</v>
      </c>
    </row>
    <row r="50" spans="3:50" ht="15.75" x14ac:dyDescent="0.25">
      <c r="C50" s="90" t="str">
        <f>Šachty!J46</f>
        <v>Š21b</v>
      </c>
      <c r="D50" s="47">
        <f>Šachty!K46</f>
        <v>0</v>
      </c>
      <c r="E50" s="47">
        <f>Šachty!M46</f>
        <v>1</v>
      </c>
      <c r="F50" s="34">
        <f>Šachty!N46</f>
        <v>1.4359999999999999</v>
      </c>
      <c r="G50" s="34">
        <f>Šachty!O46</f>
        <v>0.97599999999999998</v>
      </c>
      <c r="H50" s="34">
        <f>Šachty!P46</f>
        <v>1.35</v>
      </c>
      <c r="I50" s="34">
        <f>Šachty!R46</f>
        <v>0</v>
      </c>
      <c r="J50" s="34">
        <f t="shared" si="15"/>
        <v>1.8920736</v>
      </c>
      <c r="K50" s="34">
        <f>Šachty!S46-J50</f>
        <v>0</v>
      </c>
      <c r="L50" t="str">
        <f>Šachty!X46</f>
        <v>Pro zadláždění</v>
      </c>
      <c r="M50" t="str">
        <f>Šachty!Y46</f>
        <v>pro pl. šachtu</v>
      </c>
      <c r="N50">
        <f>Šachty!Z46</f>
        <v>1</v>
      </c>
      <c r="O50" t="str">
        <f>Šachty!AA46</f>
        <v>Nástupiště</v>
      </c>
      <c r="P50" s="34" t="str">
        <f>Šachty!AE46</f>
        <v>NE</v>
      </c>
      <c r="Q50" s="47" t="str">
        <f>Šachty!AI46</f>
        <v>ne</v>
      </c>
      <c r="R50">
        <f>Šachty!AL46</f>
        <v>0</v>
      </c>
      <c r="S50" t="s">
        <v>249</v>
      </c>
      <c r="T50">
        <f>IF(Šachty!AO46="ano",IF(S50="ano",1,0),0)</f>
        <v>0</v>
      </c>
      <c r="V50" s="34">
        <f t="shared" si="27"/>
        <v>3.1420735999999998</v>
      </c>
      <c r="W50" s="34">
        <f t="shared" si="6"/>
        <v>0</v>
      </c>
      <c r="X50" s="34">
        <f t="shared" si="16"/>
        <v>0</v>
      </c>
      <c r="Y50" s="34">
        <f t="shared" si="17"/>
        <v>1.25</v>
      </c>
      <c r="Z50" s="34">
        <f t="shared" si="18"/>
        <v>1.25</v>
      </c>
      <c r="AA50" s="34">
        <f t="shared" si="7"/>
        <v>7.2695359999999996</v>
      </c>
      <c r="AB50" s="34">
        <f t="shared" si="8"/>
        <v>0.1</v>
      </c>
      <c r="AC50" s="34">
        <f t="shared" si="19"/>
        <v>0.72695359999999998</v>
      </c>
      <c r="AD50" s="2"/>
      <c r="AE50" s="2"/>
      <c r="AF50">
        <f t="shared" si="9"/>
        <v>0</v>
      </c>
      <c r="AG50" s="34">
        <f t="shared" si="20"/>
        <v>0</v>
      </c>
      <c r="AH50" s="34">
        <f t="shared" si="21"/>
        <v>0</v>
      </c>
      <c r="AI50" s="34"/>
      <c r="AJ50" s="90" t="str">
        <f t="shared" si="4"/>
        <v>Š21b</v>
      </c>
      <c r="AM50" s="90" t="str">
        <f t="shared" si="10"/>
        <v>Š21b</v>
      </c>
      <c r="AN50" t="str">
        <f t="shared" si="22"/>
        <v>NE</v>
      </c>
      <c r="AO50" s="34">
        <f t="shared" si="23"/>
        <v>0</v>
      </c>
      <c r="AP50">
        <f t="shared" si="24"/>
        <v>0</v>
      </c>
      <c r="AR50" t="str">
        <f t="shared" si="28"/>
        <v>ne</v>
      </c>
      <c r="AS50">
        <f t="shared" si="25"/>
        <v>0</v>
      </c>
      <c r="AT50">
        <f t="shared" si="29"/>
        <v>0</v>
      </c>
      <c r="AU50">
        <f t="shared" si="26"/>
        <v>0</v>
      </c>
      <c r="AW50">
        <f t="shared" si="13"/>
        <v>10.129072000000001</v>
      </c>
      <c r="AX50">
        <f t="shared" si="14"/>
        <v>0</v>
      </c>
    </row>
    <row r="51" spans="3:50" ht="15.75" x14ac:dyDescent="0.25">
      <c r="C51" s="90" t="str">
        <f>Šachty!J47</f>
        <v>Š22</v>
      </c>
      <c r="D51" s="47">
        <f>Šachty!K47</f>
        <v>1</v>
      </c>
      <c r="E51" s="47">
        <f>Šachty!M47</f>
        <v>0</v>
      </c>
      <c r="F51" s="34">
        <f>Šachty!N47</f>
        <v>2.8</v>
      </c>
      <c r="G51" s="34">
        <f>Šachty!O47</f>
        <v>2.1</v>
      </c>
      <c r="H51" s="34">
        <f>Šachty!P47</f>
        <v>3.5</v>
      </c>
      <c r="I51" s="34">
        <f>Šachty!R47</f>
        <v>0.35</v>
      </c>
      <c r="J51" s="34">
        <f t="shared" si="15"/>
        <v>20.58</v>
      </c>
      <c r="K51" s="34">
        <f>Šachty!S47-J51</f>
        <v>0</v>
      </c>
      <c r="L51" t="str">
        <f>Šachty!X47</f>
        <v>Pro zadláždění</v>
      </c>
      <c r="M51" t="str">
        <f>Šachty!Y47</f>
        <v>ŽB. šachta</v>
      </c>
      <c r="N51">
        <f>Šachty!Z47</f>
        <v>1</v>
      </c>
      <c r="O51" t="str">
        <f>Šachty!AA47</f>
        <v>Nástupiště</v>
      </c>
      <c r="P51" s="34" t="str">
        <f>Šachty!AE47</f>
        <v>Ano</v>
      </c>
      <c r="Q51" s="47" t="str">
        <f>Šachty!AI47</f>
        <v>ano</v>
      </c>
      <c r="R51" t="str">
        <f>Šachty!AL47</f>
        <v>ANO</v>
      </c>
      <c r="S51" t="s">
        <v>217</v>
      </c>
      <c r="T51">
        <f>IF(Šachty!AO47="ano",IF(S51="ano",1,0),0)</f>
        <v>1</v>
      </c>
      <c r="V51" s="34">
        <f t="shared" si="27"/>
        <v>24.840000000000003</v>
      </c>
      <c r="W51" s="34">
        <f t="shared" si="6"/>
        <v>0.17499999999999993</v>
      </c>
      <c r="X51" s="34">
        <f t="shared" si="16"/>
        <v>4.4350000000000049</v>
      </c>
      <c r="Y51" s="34">
        <f t="shared" si="17"/>
        <v>0</v>
      </c>
      <c r="Z51" s="34">
        <f t="shared" si="18"/>
        <v>4.4350000000000049</v>
      </c>
      <c r="AA51" s="34">
        <f t="shared" si="7"/>
        <v>19.679999999999996</v>
      </c>
      <c r="AB51" s="34">
        <f t="shared" si="8"/>
        <v>0.15</v>
      </c>
      <c r="AC51" s="34">
        <f t="shared" si="19"/>
        <v>2.9519999999999995</v>
      </c>
      <c r="AD51" s="2"/>
      <c r="AE51" s="2"/>
      <c r="AF51">
        <f t="shared" si="9"/>
        <v>1</v>
      </c>
      <c r="AG51" s="34">
        <f t="shared" si="20"/>
        <v>18.799999999999997</v>
      </c>
      <c r="AH51" s="34">
        <f t="shared" si="21"/>
        <v>40.18</v>
      </c>
      <c r="AI51" s="34"/>
      <c r="AJ51" s="90" t="str">
        <f t="shared" si="4"/>
        <v>Š22</v>
      </c>
      <c r="AM51" s="90" t="str">
        <f t="shared" si="10"/>
        <v>Š22</v>
      </c>
      <c r="AN51" t="str">
        <f t="shared" si="22"/>
        <v>Ano</v>
      </c>
      <c r="AO51" s="34">
        <f t="shared" si="23"/>
        <v>1</v>
      </c>
      <c r="AP51">
        <f t="shared" si="24"/>
        <v>47.62</v>
      </c>
      <c r="AR51" t="str">
        <f t="shared" si="28"/>
        <v>ano</v>
      </c>
      <c r="AS51">
        <f t="shared" si="25"/>
        <v>95.24</v>
      </c>
      <c r="AT51" t="str">
        <f t="shared" si="29"/>
        <v>ANO</v>
      </c>
      <c r="AU51">
        <f t="shared" si="26"/>
        <v>19.679999999999996</v>
      </c>
      <c r="AV51" t="s">
        <v>184</v>
      </c>
      <c r="AW51">
        <f t="shared" si="13"/>
        <v>47.62</v>
      </c>
      <c r="AX51">
        <f t="shared" si="14"/>
        <v>47.62</v>
      </c>
    </row>
    <row r="52" spans="3:50" ht="15.75" x14ac:dyDescent="0.25">
      <c r="C52" s="90" t="str">
        <f>Šachty!J48</f>
        <v>Š23</v>
      </c>
      <c r="D52" s="47">
        <f>Šachty!K48</f>
        <v>1</v>
      </c>
      <c r="E52" s="47">
        <f>Šachty!M48</f>
        <v>0</v>
      </c>
      <c r="F52" s="34">
        <f>Šachty!N48</f>
        <v>2.7</v>
      </c>
      <c r="G52" s="34">
        <f>Šachty!O48</f>
        <v>2</v>
      </c>
      <c r="H52" s="34">
        <f>Šachty!P48</f>
        <v>4</v>
      </c>
      <c r="I52" s="34">
        <f>Šachty!R48</f>
        <v>0.35</v>
      </c>
      <c r="J52" s="34">
        <f t="shared" si="15"/>
        <v>21.6</v>
      </c>
      <c r="K52" s="34">
        <f>Šachty!S48-J52</f>
        <v>0</v>
      </c>
      <c r="L52" t="str">
        <f>Šachty!X48</f>
        <v>Pro zadláždění</v>
      </c>
      <c r="M52" t="str">
        <f>Šachty!Y48</f>
        <v>ŽB. šachta</v>
      </c>
      <c r="N52">
        <f>Šachty!Z48</f>
        <v>1</v>
      </c>
      <c r="O52" t="str">
        <f>Šachty!AA48</f>
        <v>Nástupiště</v>
      </c>
      <c r="P52" s="34" t="str">
        <f>Šachty!AE48</f>
        <v>ano</v>
      </c>
      <c r="Q52" s="47" t="str">
        <f>Šachty!AI48</f>
        <v>ano</v>
      </c>
      <c r="R52" t="str">
        <f>Šachty!AL48</f>
        <v>ANO</v>
      </c>
      <c r="S52" t="s">
        <v>217</v>
      </c>
      <c r="T52">
        <f>IF(Šachty!AO48="ano",IF(S52="ano",1,0),0)</f>
        <v>1</v>
      </c>
      <c r="V52" s="34">
        <f t="shared" si="27"/>
        <v>26.158000000000005</v>
      </c>
      <c r="W52" s="34">
        <f t="shared" si="6"/>
        <v>0.17499999999999993</v>
      </c>
      <c r="X52" s="34">
        <f t="shared" si="16"/>
        <v>4.7330000000000032</v>
      </c>
      <c r="Y52" s="34">
        <f t="shared" si="17"/>
        <v>0</v>
      </c>
      <c r="Z52" s="34">
        <f t="shared" si="18"/>
        <v>4.7330000000000032</v>
      </c>
      <c r="AA52" s="34">
        <f t="shared" si="7"/>
        <v>18.8</v>
      </c>
      <c r="AB52" s="34">
        <f t="shared" si="8"/>
        <v>0.15</v>
      </c>
      <c r="AC52" s="34">
        <f t="shared" si="19"/>
        <v>2.82</v>
      </c>
      <c r="AD52" s="2"/>
      <c r="AE52" s="2"/>
      <c r="AF52">
        <f t="shared" si="9"/>
        <v>1</v>
      </c>
      <c r="AG52" s="34">
        <f t="shared" si="20"/>
        <v>17.939999999999998</v>
      </c>
      <c r="AH52" s="34">
        <f t="shared" si="21"/>
        <v>43</v>
      </c>
      <c r="AI52" s="34"/>
      <c r="AJ52" s="90" t="str">
        <f t="shared" si="4"/>
        <v>Š23</v>
      </c>
      <c r="AM52" s="90" t="str">
        <f t="shared" si="10"/>
        <v>Š23</v>
      </c>
      <c r="AN52" t="str">
        <f t="shared" si="22"/>
        <v>ano</v>
      </c>
      <c r="AO52" s="34">
        <f t="shared" si="23"/>
        <v>1</v>
      </c>
      <c r="AP52">
        <f t="shared" si="24"/>
        <v>49.900000000000006</v>
      </c>
      <c r="AR52" t="str">
        <f t="shared" si="28"/>
        <v>ano</v>
      </c>
      <c r="AS52">
        <f t="shared" si="25"/>
        <v>99.800000000000011</v>
      </c>
      <c r="AT52" t="str">
        <f t="shared" si="29"/>
        <v>ANO</v>
      </c>
      <c r="AU52">
        <f t="shared" si="26"/>
        <v>18.8</v>
      </c>
      <c r="AV52" t="s">
        <v>184</v>
      </c>
      <c r="AW52">
        <f t="shared" si="13"/>
        <v>49.900000000000006</v>
      </c>
      <c r="AX52">
        <f t="shared" si="14"/>
        <v>49.900000000000006</v>
      </c>
    </row>
    <row r="53" spans="3:50" ht="15.75" x14ac:dyDescent="0.25">
      <c r="C53" s="90" t="str">
        <f>Šachty!J49</f>
        <v>Š24</v>
      </c>
      <c r="D53" s="47">
        <f>Šachty!K49</f>
        <v>0</v>
      </c>
      <c r="E53" s="47">
        <f>Šachty!M49</f>
        <v>1</v>
      </c>
      <c r="F53" s="34">
        <f>Šachty!N49</f>
        <v>2.0299999999999998</v>
      </c>
      <c r="G53" s="34">
        <f>Šachty!O49</f>
        <v>1.3260000000000001</v>
      </c>
      <c r="H53" s="34">
        <f>Šachty!P49</f>
        <v>1.35</v>
      </c>
      <c r="I53" s="34">
        <f>Šachty!R49</f>
        <v>0</v>
      </c>
      <c r="J53" s="34">
        <f t="shared" si="15"/>
        <v>3.6339030000000001</v>
      </c>
      <c r="K53" s="34">
        <f>Šachty!S49-J53</f>
        <v>0</v>
      </c>
      <c r="L53" t="str">
        <f>Šachty!X49</f>
        <v>Pro zadláždění</v>
      </c>
      <c r="M53" t="str">
        <f>Šachty!Y49</f>
        <v>pro pl. šachtu</v>
      </c>
      <c r="N53">
        <f>Šachty!Z49</f>
        <v>1</v>
      </c>
      <c r="O53" t="str">
        <f>Šachty!AA49</f>
        <v>Nástupiště</v>
      </c>
      <c r="P53" s="34" t="str">
        <f>Šachty!AE49</f>
        <v>ne</v>
      </c>
      <c r="Q53" s="47" t="str">
        <f>Šachty!AI49</f>
        <v>NE</v>
      </c>
      <c r="R53" t="str">
        <f>Šachty!AL49</f>
        <v>ANO</v>
      </c>
      <c r="S53" t="s">
        <v>249</v>
      </c>
      <c r="T53">
        <f>IF(Šachty!AO49="ano",IF(S53="ano",1,0),0)</f>
        <v>0</v>
      </c>
      <c r="V53" s="34">
        <f t="shared" si="27"/>
        <v>4.8839030000000001</v>
      </c>
      <c r="W53" s="34">
        <f t="shared" si="6"/>
        <v>0</v>
      </c>
      <c r="X53" s="34">
        <f t="shared" si="16"/>
        <v>0</v>
      </c>
      <c r="Y53" s="34">
        <f t="shared" si="17"/>
        <v>1.25</v>
      </c>
      <c r="Z53" s="34">
        <f t="shared" si="18"/>
        <v>1.25</v>
      </c>
      <c r="AA53" s="34">
        <f t="shared" si="7"/>
        <v>9.9757800000000003</v>
      </c>
      <c r="AB53" s="34">
        <f t="shared" si="8"/>
        <v>0.1</v>
      </c>
      <c r="AC53" s="34">
        <f t="shared" si="19"/>
        <v>0.99757800000000008</v>
      </c>
      <c r="AD53" s="2"/>
      <c r="AE53" s="2"/>
      <c r="AF53">
        <f t="shared" si="9"/>
        <v>0</v>
      </c>
      <c r="AG53" s="34">
        <f t="shared" si="20"/>
        <v>0</v>
      </c>
      <c r="AH53" s="34">
        <f t="shared" si="21"/>
        <v>0</v>
      </c>
      <c r="AI53" s="34"/>
      <c r="AJ53" s="90" t="str">
        <f t="shared" si="4"/>
        <v>Š24</v>
      </c>
      <c r="AM53" s="90" t="str">
        <f t="shared" si="10"/>
        <v>Š24</v>
      </c>
      <c r="AN53" t="str">
        <f t="shared" si="22"/>
        <v>ne</v>
      </c>
      <c r="AO53" s="34">
        <f t="shared" si="23"/>
        <v>0</v>
      </c>
      <c r="AP53">
        <f t="shared" si="24"/>
        <v>0</v>
      </c>
      <c r="AR53" t="str">
        <f t="shared" si="28"/>
        <v>NE</v>
      </c>
      <c r="AS53">
        <f t="shared" si="25"/>
        <v>0</v>
      </c>
      <c r="AU53">
        <f t="shared" si="26"/>
        <v>0</v>
      </c>
      <c r="AW53">
        <f t="shared" si="13"/>
        <v>15.541559999999999</v>
      </c>
      <c r="AX53">
        <f t="shared" si="14"/>
        <v>0</v>
      </c>
    </row>
    <row r="54" spans="3:50" ht="15.75" x14ac:dyDescent="0.25">
      <c r="C54" s="90" t="str">
        <f>Šachty!J50</f>
        <v>Š25</v>
      </c>
      <c r="D54" s="47">
        <f>Šachty!K50</f>
        <v>1</v>
      </c>
      <c r="E54" s="47">
        <f>Šachty!M50</f>
        <v>0</v>
      </c>
      <c r="F54" s="34">
        <f>Šachty!N50</f>
        <v>2.1</v>
      </c>
      <c r="G54" s="34">
        <f>Šachty!O50</f>
        <v>2.1</v>
      </c>
      <c r="H54" s="34">
        <f>Šachty!P50</f>
        <v>2.8</v>
      </c>
      <c r="I54" s="34">
        <f>Šachty!R50</f>
        <v>0.35</v>
      </c>
      <c r="J54" s="34">
        <f t="shared" si="15"/>
        <v>12.347999999999999</v>
      </c>
      <c r="K54" s="34">
        <f>Šachty!S50-J54</f>
        <v>0</v>
      </c>
      <c r="L54" t="str">
        <f>Šachty!X50</f>
        <v>Pro zadláždění</v>
      </c>
      <c r="M54" t="str">
        <f>Šachty!Y50</f>
        <v>ŽB. šachta</v>
      </c>
      <c r="N54">
        <f>Šachty!Z50</f>
        <v>1</v>
      </c>
      <c r="O54" t="str">
        <f>Šachty!AA50</f>
        <v>Nástupiště</v>
      </c>
      <c r="P54" s="34" t="str">
        <f>Šachty!AE50</f>
        <v>ano</v>
      </c>
      <c r="Q54" s="47" t="str">
        <f>Šachty!AI50</f>
        <v>ano</v>
      </c>
      <c r="R54" t="str">
        <f>Šachty!AL50</f>
        <v>ANO</v>
      </c>
      <c r="S54" t="s">
        <v>249</v>
      </c>
      <c r="T54">
        <f>IF(Šachty!AO50="ano",IF(S54="ano",1,0),0)</f>
        <v>0</v>
      </c>
      <c r="V54" s="34">
        <f t="shared" si="27"/>
        <v>0</v>
      </c>
      <c r="W54" s="34">
        <f t="shared" si="6"/>
        <v>0.17499999999999993</v>
      </c>
      <c r="X54" s="34">
        <f t="shared" si="16"/>
        <v>0</v>
      </c>
      <c r="Y54" s="34">
        <f t="shared" si="17"/>
        <v>0</v>
      </c>
      <c r="Z54" s="34">
        <f t="shared" si="18"/>
        <v>0</v>
      </c>
      <c r="AA54" s="34">
        <f t="shared" si="7"/>
        <v>16.809999999999999</v>
      </c>
      <c r="AB54" s="34">
        <f t="shared" si="8"/>
        <v>0.15</v>
      </c>
      <c r="AC54" s="34">
        <f t="shared" si="19"/>
        <v>2.5214999999999996</v>
      </c>
      <c r="AD54" s="2"/>
      <c r="AE54" s="2"/>
      <c r="AF54">
        <f t="shared" si="9"/>
        <v>1</v>
      </c>
      <c r="AG54" s="34">
        <f t="shared" si="20"/>
        <v>16</v>
      </c>
      <c r="AH54" s="34">
        <f t="shared" si="21"/>
        <v>0</v>
      </c>
      <c r="AI54" s="34"/>
      <c r="AJ54" s="90" t="str">
        <f t="shared" si="4"/>
        <v>Š25</v>
      </c>
      <c r="AM54" s="90" t="str">
        <f t="shared" si="10"/>
        <v>Š25</v>
      </c>
      <c r="AN54" t="str">
        <f t="shared" si="22"/>
        <v>ano</v>
      </c>
      <c r="AO54" s="34">
        <f t="shared" si="23"/>
        <v>1</v>
      </c>
      <c r="AP54">
        <f t="shared" si="24"/>
        <v>33.69</v>
      </c>
      <c r="AR54" t="str">
        <f t="shared" si="28"/>
        <v>ano</v>
      </c>
      <c r="AS54">
        <f t="shared" si="25"/>
        <v>67.38</v>
      </c>
      <c r="AT54" t="str">
        <f t="shared" si="29"/>
        <v>ANO</v>
      </c>
      <c r="AU54">
        <f t="shared" si="26"/>
        <v>16.809999999999999</v>
      </c>
      <c r="AV54" t="s">
        <v>184</v>
      </c>
      <c r="AW54">
        <f t="shared" si="13"/>
        <v>33.69</v>
      </c>
      <c r="AX54">
        <f t="shared" si="14"/>
        <v>33.69</v>
      </c>
    </row>
    <row r="55" spans="3:50" ht="15.75" x14ac:dyDescent="0.25">
      <c r="C55" s="90" t="str">
        <f>Šachty!J51</f>
        <v>Š26</v>
      </c>
      <c r="D55" s="47">
        <f>Šachty!K51</f>
        <v>1</v>
      </c>
      <c r="E55" s="47">
        <f>Šachty!M51</f>
        <v>0</v>
      </c>
      <c r="F55" s="34">
        <f>Šachty!N51</f>
        <v>2.1</v>
      </c>
      <c r="G55" s="34">
        <f>Šachty!O51</f>
        <v>2.1</v>
      </c>
      <c r="H55" s="34">
        <f>Šachty!P51</f>
        <v>2.8</v>
      </c>
      <c r="I55" s="34">
        <f>Šachty!R51</f>
        <v>0.35</v>
      </c>
      <c r="J55" s="34">
        <f t="shared" si="15"/>
        <v>12.347999999999999</v>
      </c>
      <c r="K55" s="34">
        <f>Šachty!S51-J55</f>
        <v>0</v>
      </c>
      <c r="L55" t="str">
        <f>Šachty!X51</f>
        <v>Pro zadláždění</v>
      </c>
      <c r="M55" t="str">
        <f>Šachty!Y51</f>
        <v>ŽB. šachta</v>
      </c>
      <c r="N55">
        <f>Šachty!Z51</f>
        <v>1</v>
      </c>
      <c r="O55" t="str">
        <f>Šachty!AA51</f>
        <v>Nástupiště</v>
      </c>
      <c r="P55" s="34" t="str">
        <f>Šachty!AE51</f>
        <v>ano</v>
      </c>
      <c r="Q55" s="47" t="str">
        <f>Šachty!AI51</f>
        <v>Ano</v>
      </c>
      <c r="R55" t="str">
        <f>Šachty!AL51</f>
        <v>ANO</v>
      </c>
      <c r="S55" t="s">
        <v>249</v>
      </c>
      <c r="T55">
        <f>IF(Šachty!AO51="ano",IF(S55="ano",1,0),0)</f>
        <v>0</v>
      </c>
      <c r="V55" s="34">
        <f t="shared" si="27"/>
        <v>0</v>
      </c>
      <c r="W55" s="34">
        <f t="shared" si="6"/>
        <v>0.17499999999999993</v>
      </c>
      <c r="X55" s="34">
        <f t="shared" si="16"/>
        <v>0</v>
      </c>
      <c r="Y55" s="34">
        <f t="shared" si="17"/>
        <v>0</v>
      </c>
      <c r="Z55" s="34">
        <f t="shared" si="18"/>
        <v>0</v>
      </c>
      <c r="AA55" s="34">
        <f t="shared" si="7"/>
        <v>16.809999999999999</v>
      </c>
      <c r="AB55" s="34">
        <f t="shared" si="8"/>
        <v>0.15</v>
      </c>
      <c r="AC55" s="34">
        <f t="shared" si="19"/>
        <v>2.5214999999999996</v>
      </c>
      <c r="AD55" s="2"/>
      <c r="AE55" s="2"/>
      <c r="AF55">
        <f t="shared" si="9"/>
        <v>1</v>
      </c>
      <c r="AG55" s="34">
        <f t="shared" si="20"/>
        <v>16</v>
      </c>
      <c r="AH55" s="34">
        <f t="shared" si="21"/>
        <v>0</v>
      </c>
      <c r="AI55" s="34"/>
      <c r="AJ55" s="90" t="str">
        <f t="shared" si="4"/>
        <v>Š26</v>
      </c>
      <c r="AM55" s="90" t="str">
        <f t="shared" si="10"/>
        <v>Š26</v>
      </c>
      <c r="AN55" t="str">
        <f t="shared" si="22"/>
        <v>ano</v>
      </c>
      <c r="AO55" s="34">
        <f t="shared" si="23"/>
        <v>1</v>
      </c>
      <c r="AP55">
        <f t="shared" si="24"/>
        <v>33.69</v>
      </c>
      <c r="AR55" t="str">
        <f t="shared" si="28"/>
        <v>Ano</v>
      </c>
      <c r="AS55">
        <f t="shared" si="25"/>
        <v>67.38</v>
      </c>
      <c r="AT55" t="str">
        <f t="shared" si="29"/>
        <v>ANO</v>
      </c>
      <c r="AU55">
        <f t="shared" si="26"/>
        <v>16.809999999999999</v>
      </c>
      <c r="AV55" t="s">
        <v>184</v>
      </c>
      <c r="AW55">
        <f t="shared" si="13"/>
        <v>33.69</v>
      </c>
      <c r="AX55">
        <f t="shared" si="14"/>
        <v>33.69</v>
      </c>
    </row>
    <row r="56" spans="3:50" ht="15.75" x14ac:dyDescent="0.25">
      <c r="C56" s="90" t="str">
        <f>Šachty!J52</f>
        <v>Š27</v>
      </c>
      <c r="D56" s="47">
        <f>Šachty!K52</f>
        <v>1</v>
      </c>
      <c r="E56" s="47">
        <f>Šachty!M52</f>
        <v>0</v>
      </c>
      <c r="F56" s="34">
        <f>Šachty!N52</f>
        <v>2.1</v>
      </c>
      <c r="G56" s="34">
        <f>Šachty!O52</f>
        <v>2.1</v>
      </c>
      <c r="H56" s="34">
        <f>Šachty!P52</f>
        <v>2.8</v>
      </c>
      <c r="I56" s="34">
        <f>Šachty!R52</f>
        <v>0.35</v>
      </c>
      <c r="J56" s="34">
        <f t="shared" si="15"/>
        <v>12.347999999999999</v>
      </c>
      <c r="K56" s="34">
        <f>Šachty!S52-J56</f>
        <v>0</v>
      </c>
      <c r="L56" t="str">
        <f>Šachty!X52</f>
        <v>Pro zadláždění</v>
      </c>
      <c r="M56" t="str">
        <f>Šachty!Y52</f>
        <v>ŽB. šachta</v>
      </c>
      <c r="N56">
        <f>Šachty!Z52</f>
        <v>1</v>
      </c>
      <c r="O56" t="str">
        <f>Šachty!AA52</f>
        <v>Nástupiště</v>
      </c>
      <c r="P56" s="34" t="str">
        <f>Šachty!AE52</f>
        <v>ano</v>
      </c>
      <c r="Q56" s="47" t="str">
        <f>Šachty!AI52</f>
        <v>ano</v>
      </c>
      <c r="R56" t="str">
        <f>Šachty!AL52</f>
        <v>ANO</v>
      </c>
      <c r="S56" t="s">
        <v>249</v>
      </c>
      <c r="T56">
        <f>IF(Šachty!AO52="ano",IF(S56="ano",1,0),0)</f>
        <v>0</v>
      </c>
      <c r="V56" s="34">
        <f t="shared" si="27"/>
        <v>0</v>
      </c>
      <c r="W56" s="34">
        <f t="shared" si="6"/>
        <v>0.17499999999999993</v>
      </c>
      <c r="X56" s="34">
        <f t="shared" si="16"/>
        <v>0</v>
      </c>
      <c r="Y56" s="34">
        <f t="shared" si="17"/>
        <v>0</v>
      </c>
      <c r="Z56" s="34">
        <f t="shared" si="18"/>
        <v>0</v>
      </c>
      <c r="AA56" s="34">
        <f t="shared" si="7"/>
        <v>16.809999999999999</v>
      </c>
      <c r="AB56" s="34">
        <f t="shared" si="8"/>
        <v>0.15</v>
      </c>
      <c r="AC56" s="34">
        <f t="shared" si="19"/>
        <v>2.5214999999999996</v>
      </c>
      <c r="AD56" s="2"/>
      <c r="AE56" s="2"/>
      <c r="AF56">
        <f t="shared" si="9"/>
        <v>1</v>
      </c>
      <c r="AG56" s="34">
        <f t="shared" si="20"/>
        <v>16</v>
      </c>
      <c r="AH56" s="34">
        <f t="shared" si="21"/>
        <v>0</v>
      </c>
      <c r="AI56" s="34"/>
      <c r="AJ56" s="90" t="str">
        <f t="shared" si="4"/>
        <v>Š27</v>
      </c>
      <c r="AM56" s="90" t="str">
        <f t="shared" si="10"/>
        <v>Š27</v>
      </c>
      <c r="AN56" t="str">
        <f t="shared" si="22"/>
        <v>ano</v>
      </c>
      <c r="AO56" s="34">
        <f t="shared" si="23"/>
        <v>1</v>
      </c>
      <c r="AP56">
        <f t="shared" si="24"/>
        <v>33.69</v>
      </c>
      <c r="AR56" t="str">
        <f t="shared" si="28"/>
        <v>ano</v>
      </c>
      <c r="AS56">
        <f t="shared" si="25"/>
        <v>67.38</v>
      </c>
      <c r="AT56" t="str">
        <f t="shared" si="29"/>
        <v>ANO</v>
      </c>
      <c r="AU56">
        <f t="shared" si="26"/>
        <v>16.809999999999999</v>
      </c>
      <c r="AV56" t="s">
        <v>184</v>
      </c>
      <c r="AW56">
        <f t="shared" si="13"/>
        <v>33.69</v>
      </c>
      <c r="AX56">
        <f t="shared" si="14"/>
        <v>33.69</v>
      </c>
    </row>
    <row r="57" spans="3:50" ht="15.75" x14ac:dyDescent="0.25">
      <c r="C57" s="90" t="str">
        <f>Šachty!J53</f>
        <v>Š28</v>
      </c>
      <c r="D57" s="47">
        <f>Šachty!K53</f>
        <v>1</v>
      </c>
      <c r="E57" s="47">
        <f>Šachty!M53</f>
        <v>0</v>
      </c>
      <c r="F57" s="34">
        <f>Šachty!N53</f>
        <v>2.1</v>
      </c>
      <c r="G57" s="34">
        <f>Šachty!O53</f>
        <v>2.1</v>
      </c>
      <c r="H57" s="34">
        <f>Šachty!P53</f>
        <v>2.8</v>
      </c>
      <c r="I57" s="34">
        <f>Šachty!R53</f>
        <v>0.35</v>
      </c>
      <c r="J57" s="34">
        <f t="shared" si="15"/>
        <v>12.347999999999999</v>
      </c>
      <c r="K57" s="34">
        <f>Šachty!S53-J57</f>
        <v>0</v>
      </c>
      <c r="L57" t="str">
        <f>Šachty!X53</f>
        <v>Pro zadláždění</v>
      </c>
      <c r="M57" t="str">
        <f>Šachty!Y53</f>
        <v>ŽB. šachta</v>
      </c>
      <c r="N57">
        <f>Šachty!Z53</f>
        <v>1</v>
      </c>
      <c r="O57" t="str">
        <f>Šachty!AA53</f>
        <v>Nástupiště</v>
      </c>
      <c r="P57" s="34" t="str">
        <f>Šachty!AE53</f>
        <v>ano</v>
      </c>
      <c r="Q57" s="47" t="str">
        <f>Šachty!AI53</f>
        <v>ano</v>
      </c>
      <c r="R57" t="str">
        <f>Šachty!AL53</f>
        <v>ANO</v>
      </c>
      <c r="S57" t="s">
        <v>249</v>
      </c>
      <c r="T57">
        <f>IF(Šachty!AO53="ano",IF(S57="ano",1,0),0)</f>
        <v>0</v>
      </c>
      <c r="V57" s="34">
        <f t="shared" si="27"/>
        <v>0</v>
      </c>
      <c r="W57" s="34">
        <f t="shared" si="6"/>
        <v>0.17499999999999993</v>
      </c>
      <c r="X57" s="34">
        <f t="shared" si="16"/>
        <v>0</v>
      </c>
      <c r="Y57" s="34">
        <f t="shared" si="17"/>
        <v>0</v>
      </c>
      <c r="Z57" s="34">
        <f t="shared" si="18"/>
        <v>0</v>
      </c>
      <c r="AA57" s="34">
        <f t="shared" si="7"/>
        <v>16.809999999999999</v>
      </c>
      <c r="AB57" s="34">
        <f t="shared" si="8"/>
        <v>0.15</v>
      </c>
      <c r="AC57" s="34">
        <f t="shared" si="19"/>
        <v>2.5214999999999996</v>
      </c>
      <c r="AD57" s="2"/>
      <c r="AE57" s="2"/>
      <c r="AF57">
        <f t="shared" si="9"/>
        <v>1</v>
      </c>
      <c r="AG57" s="34">
        <f t="shared" si="20"/>
        <v>16</v>
      </c>
      <c r="AH57" s="34">
        <f t="shared" si="21"/>
        <v>0</v>
      </c>
      <c r="AI57" s="34"/>
      <c r="AJ57" s="90" t="str">
        <f t="shared" si="4"/>
        <v>Š28</v>
      </c>
      <c r="AM57" s="90" t="str">
        <f t="shared" si="10"/>
        <v>Š28</v>
      </c>
      <c r="AN57" t="str">
        <f t="shared" si="22"/>
        <v>ano</v>
      </c>
      <c r="AO57" s="34">
        <f t="shared" si="23"/>
        <v>1</v>
      </c>
      <c r="AP57">
        <f t="shared" si="24"/>
        <v>33.69</v>
      </c>
      <c r="AR57" t="str">
        <f t="shared" si="28"/>
        <v>ano</v>
      </c>
      <c r="AS57">
        <f t="shared" si="25"/>
        <v>67.38</v>
      </c>
      <c r="AT57" t="str">
        <f t="shared" si="29"/>
        <v>ANO</v>
      </c>
      <c r="AU57">
        <f t="shared" si="26"/>
        <v>16.809999999999999</v>
      </c>
      <c r="AV57" t="s">
        <v>184</v>
      </c>
      <c r="AW57">
        <f t="shared" si="13"/>
        <v>33.69</v>
      </c>
      <c r="AX57">
        <f t="shared" si="14"/>
        <v>33.69</v>
      </c>
    </row>
    <row r="58" spans="3:50" ht="15.75" x14ac:dyDescent="0.25">
      <c r="C58" s="90" t="str">
        <f>Šachty!J54</f>
        <v>Š29</v>
      </c>
      <c r="D58" s="47">
        <f>Šachty!K54</f>
        <v>1</v>
      </c>
      <c r="E58" s="47">
        <f>Šachty!M54</f>
        <v>0</v>
      </c>
      <c r="F58" s="34">
        <f>Šachty!N54</f>
        <v>2.1</v>
      </c>
      <c r="G58" s="34">
        <f>Šachty!O54</f>
        <v>2.1</v>
      </c>
      <c r="H58" s="34">
        <f>Šachty!P54</f>
        <v>2.8</v>
      </c>
      <c r="I58" s="34">
        <f>Šachty!R54</f>
        <v>0.35</v>
      </c>
      <c r="J58" s="34">
        <f t="shared" si="15"/>
        <v>12.347999999999999</v>
      </c>
      <c r="K58" s="34">
        <f>Šachty!S54-J58</f>
        <v>0</v>
      </c>
      <c r="L58" t="str">
        <f>Šachty!X54</f>
        <v>Pro zadláždění</v>
      </c>
      <c r="M58" t="str">
        <f>Šachty!Y54</f>
        <v>ŽB. šachta</v>
      </c>
      <c r="N58">
        <f>Šachty!Z54</f>
        <v>1</v>
      </c>
      <c r="O58" t="str">
        <f>Šachty!AA54</f>
        <v>Nástupiště</v>
      </c>
      <c r="P58" s="34" t="str">
        <f>Šachty!AE54</f>
        <v>ano</v>
      </c>
      <c r="Q58" s="47" t="str">
        <f>Šachty!AI54</f>
        <v>ano</v>
      </c>
      <c r="R58" t="str">
        <f>Šachty!AL54</f>
        <v>ANO</v>
      </c>
      <c r="S58" t="s">
        <v>249</v>
      </c>
      <c r="T58">
        <f>IF(Šachty!AO54="ano",IF(S58="ano",1,0),0)</f>
        <v>0</v>
      </c>
      <c r="V58" s="34">
        <f t="shared" si="27"/>
        <v>0</v>
      </c>
      <c r="W58" s="34">
        <f t="shared" si="6"/>
        <v>0.17499999999999993</v>
      </c>
      <c r="X58" s="34">
        <f t="shared" si="16"/>
        <v>0</v>
      </c>
      <c r="Y58" s="34">
        <f t="shared" si="17"/>
        <v>0</v>
      </c>
      <c r="Z58" s="34">
        <f t="shared" si="18"/>
        <v>0</v>
      </c>
      <c r="AA58" s="34">
        <f t="shared" si="7"/>
        <v>16.809999999999999</v>
      </c>
      <c r="AB58" s="34">
        <f t="shared" si="8"/>
        <v>0.15</v>
      </c>
      <c r="AC58" s="34">
        <f t="shared" si="19"/>
        <v>2.5214999999999996</v>
      </c>
      <c r="AD58" s="2"/>
      <c r="AE58" s="2"/>
      <c r="AF58">
        <f t="shared" si="9"/>
        <v>1</v>
      </c>
      <c r="AG58" s="34">
        <f t="shared" si="20"/>
        <v>16</v>
      </c>
      <c r="AH58" s="34">
        <f t="shared" si="21"/>
        <v>0</v>
      </c>
      <c r="AI58" s="34"/>
      <c r="AJ58" s="90" t="str">
        <f t="shared" ref="AJ58:AJ81" si="30">C58</f>
        <v>Š29</v>
      </c>
      <c r="AM58" s="90" t="str">
        <f t="shared" si="10"/>
        <v>Š29</v>
      </c>
      <c r="AN58" t="str">
        <f t="shared" si="22"/>
        <v>ano</v>
      </c>
      <c r="AO58" s="34">
        <f t="shared" si="23"/>
        <v>1</v>
      </c>
      <c r="AP58">
        <f t="shared" si="24"/>
        <v>33.69</v>
      </c>
      <c r="AR58" t="str">
        <f t="shared" si="28"/>
        <v>ano</v>
      </c>
      <c r="AS58">
        <f t="shared" si="25"/>
        <v>67.38</v>
      </c>
      <c r="AT58" t="str">
        <f t="shared" si="29"/>
        <v>ANO</v>
      </c>
      <c r="AU58">
        <f t="shared" si="26"/>
        <v>16.809999999999999</v>
      </c>
      <c r="AV58" t="s">
        <v>184</v>
      </c>
      <c r="AW58">
        <f t="shared" si="13"/>
        <v>33.69</v>
      </c>
      <c r="AX58">
        <f t="shared" si="14"/>
        <v>33.69</v>
      </c>
    </row>
    <row r="59" spans="3:50" ht="15.75" x14ac:dyDescent="0.25">
      <c r="C59" s="90" t="str">
        <f>Šachty!J55</f>
        <v>Š30</v>
      </c>
      <c r="D59" s="47">
        <f>Šachty!K55</f>
        <v>1</v>
      </c>
      <c r="E59" s="47">
        <f>Šachty!M55</f>
        <v>0</v>
      </c>
      <c r="F59" s="34">
        <f>Šachty!N55</f>
        <v>2.5</v>
      </c>
      <c r="G59" s="34">
        <f>Šachty!O55</f>
        <v>2.1</v>
      </c>
      <c r="H59" s="34">
        <f>Šachty!P55</f>
        <v>2.8</v>
      </c>
      <c r="I59" s="34">
        <f>Šachty!R55</f>
        <v>0.35</v>
      </c>
      <c r="J59" s="34">
        <f t="shared" si="15"/>
        <v>14.7</v>
      </c>
      <c r="K59" s="34">
        <f>Šachty!S55-J59</f>
        <v>0</v>
      </c>
      <c r="L59" t="str">
        <f>Šachty!X55</f>
        <v>Pro zadláždění</v>
      </c>
      <c r="M59" t="str">
        <f>Šachty!Y55</f>
        <v>ŽB. šachta</v>
      </c>
      <c r="N59">
        <f>Šachty!Z55</f>
        <v>1</v>
      </c>
      <c r="O59" t="str">
        <f>Šachty!AA55</f>
        <v>Nástupiště</v>
      </c>
      <c r="P59" s="34" t="str">
        <f>Šachty!AE55</f>
        <v>ano</v>
      </c>
      <c r="Q59" s="47" t="str">
        <f>Šachty!AI55</f>
        <v>ano</v>
      </c>
      <c r="R59" t="str">
        <f>Šachty!AL55</f>
        <v>ANO</v>
      </c>
      <c r="S59" t="s">
        <v>249</v>
      </c>
      <c r="T59">
        <f>IF(Šachty!AO55="ano",IF(S59="ano",1,0),0)</f>
        <v>0</v>
      </c>
      <c r="V59" s="34">
        <f t="shared" si="27"/>
        <v>0</v>
      </c>
      <c r="W59" s="34">
        <f t="shared" ref="W59:W81" si="31">N59*((1+2*$V$22)*(1.3+2*$V$22)*I59-(1*1.3*I59))</f>
        <v>0.17499999999999993</v>
      </c>
      <c r="X59" s="34">
        <f t="shared" si="16"/>
        <v>0</v>
      </c>
      <c r="Y59" s="34">
        <f t="shared" si="17"/>
        <v>0</v>
      </c>
      <c r="Z59" s="34">
        <f t="shared" si="18"/>
        <v>0</v>
      </c>
      <c r="AA59" s="34">
        <f t="shared" ref="AA59:AA81" si="32">IF(D59=1,(F59+2)*(G59+2),IF(E59=1,(F59+1.5)*(G59+1.5),0))</f>
        <v>18.45</v>
      </c>
      <c r="AB59" s="34">
        <f t="shared" ref="AB59:AB81" si="33">IF(D59=1,0.15,IF(E59=1,0.1,0))</f>
        <v>0.15</v>
      </c>
      <c r="AC59" s="34">
        <f t="shared" si="19"/>
        <v>2.7674999999999996</v>
      </c>
      <c r="AD59" s="2"/>
      <c r="AE59" s="2"/>
      <c r="AF59">
        <f t="shared" ref="AF59:AF81" si="34">IF(D59=1,1,0)</f>
        <v>1</v>
      </c>
      <c r="AG59" s="34">
        <f t="shared" ref="AG59:AG81" si="35">(F59+1.9)*(G59+1.9)*AF59</f>
        <v>17.600000000000001</v>
      </c>
      <c r="AH59" s="34">
        <f t="shared" si="21"/>
        <v>0</v>
      </c>
      <c r="AI59" s="34"/>
      <c r="AJ59" s="90" t="str">
        <f t="shared" si="30"/>
        <v>Š30</v>
      </c>
      <c r="AM59" s="90" t="str">
        <f t="shared" si="10"/>
        <v>Š30</v>
      </c>
      <c r="AN59" t="str">
        <f t="shared" si="22"/>
        <v>ano</v>
      </c>
      <c r="AO59" s="34">
        <f t="shared" si="23"/>
        <v>1</v>
      </c>
      <c r="AP59">
        <f t="shared" si="24"/>
        <v>37.729999999999997</v>
      </c>
      <c r="AR59" t="str">
        <f t="shared" si="28"/>
        <v>ano</v>
      </c>
      <c r="AS59">
        <f t="shared" si="25"/>
        <v>75.459999999999994</v>
      </c>
      <c r="AT59" t="str">
        <f t="shared" si="29"/>
        <v>ANO</v>
      </c>
      <c r="AU59">
        <f t="shared" si="26"/>
        <v>18.45</v>
      </c>
      <c r="AV59" t="s">
        <v>184</v>
      </c>
      <c r="AW59">
        <f t="shared" si="13"/>
        <v>37.729999999999997</v>
      </c>
      <c r="AX59">
        <f t="shared" si="14"/>
        <v>37.729999999999997</v>
      </c>
    </row>
    <row r="60" spans="3:50" ht="15.75" x14ac:dyDescent="0.25">
      <c r="C60" s="90" t="str">
        <f>Šachty!J56</f>
        <v>Š31</v>
      </c>
      <c r="D60" s="47">
        <f>Šachty!K56</f>
        <v>1</v>
      </c>
      <c r="E60" s="47">
        <f>Šachty!M56</f>
        <v>0</v>
      </c>
      <c r="F60" s="34">
        <f>Šachty!N56</f>
        <v>2.5</v>
      </c>
      <c r="G60" s="34">
        <f>Šachty!O56</f>
        <v>2.1</v>
      </c>
      <c r="H60" s="34">
        <f>Šachty!P56</f>
        <v>2.8</v>
      </c>
      <c r="I60" s="34">
        <f>Šachty!R56</f>
        <v>0.35</v>
      </c>
      <c r="J60" s="34">
        <f t="shared" si="15"/>
        <v>14.7</v>
      </c>
      <c r="K60" s="34">
        <f>Šachty!S56-J60</f>
        <v>0</v>
      </c>
      <c r="L60" t="str">
        <f>Šachty!X56</f>
        <v>Pro zadláždění</v>
      </c>
      <c r="M60" t="str">
        <f>Šachty!Y56</f>
        <v>ŽB. šachta</v>
      </c>
      <c r="N60">
        <f>Šachty!Z56</f>
        <v>1</v>
      </c>
      <c r="O60" t="str">
        <f>Šachty!AA56</f>
        <v>Nástupiště</v>
      </c>
      <c r="P60" s="34" t="str">
        <f>Šachty!AE56</f>
        <v>ano</v>
      </c>
      <c r="Q60" s="47" t="str">
        <f>Šachty!AI56</f>
        <v>ano</v>
      </c>
      <c r="R60" t="str">
        <f>Šachty!AL56</f>
        <v>ANO</v>
      </c>
      <c r="S60" t="s">
        <v>249</v>
      </c>
      <c r="T60">
        <f>IF(Šachty!AO56="ano",IF(S60="ano",1,0),0)</f>
        <v>0</v>
      </c>
      <c r="V60" s="34">
        <f t="shared" si="27"/>
        <v>0</v>
      </c>
      <c r="W60" s="34">
        <f t="shared" si="31"/>
        <v>0.17499999999999993</v>
      </c>
      <c r="X60" s="34">
        <f t="shared" si="16"/>
        <v>0</v>
      </c>
      <c r="Y60" s="34">
        <f t="shared" si="17"/>
        <v>0</v>
      </c>
      <c r="Z60" s="34">
        <f t="shared" si="18"/>
        <v>0</v>
      </c>
      <c r="AA60" s="34">
        <f t="shared" si="32"/>
        <v>18.45</v>
      </c>
      <c r="AB60" s="34">
        <f t="shared" si="33"/>
        <v>0.15</v>
      </c>
      <c r="AC60" s="34">
        <f t="shared" si="19"/>
        <v>2.7674999999999996</v>
      </c>
      <c r="AD60" s="2"/>
      <c r="AE60" s="2"/>
      <c r="AF60">
        <f t="shared" si="34"/>
        <v>1</v>
      </c>
      <c r="AG60" s="34">
        <f t="shared" si="35"/>
        <v>17.600000000000001</v>
      </c>
      <c r="AH60" s="34">
        <f t="shared" si="21"/>
        <v>0</v>
      </c>
      <c r="AI60" s="34"/>
      <c r="AJ60" s="90" t="str">
        <f t="shared" si="30"/>
        <v>Š31</v>
      </c>
      <c r="AM60" s="90" t="str">
        <f t="shared" si="10"/>
        <v>Š31</v>
      </c>
      <c r="AN60" t="str">
        <f t="shared" si="22"/>
        <v>ano</v>
      </c>
      <c r="AO60" s="34">
        <f t="shared" si="23"/>
        <v>1</v>
      </c>
      <c r="AP60">
        <f t="shared" si="24"/>
        <v>37.729999999999997</v>
      </c>
      <c r="AR60" t="str">
        <f t="shared" si="28"/>
        <v>ano</v>
      </c>
      <c r="AS60">
        <f t="shared" si="25"/>
        <v>75.459999999999994</v>
      </c>
      <c r="AT60" t="str">
        <f t="shared" si="29"/>
        <v>ANO</v>
      </c>
      <c r="AU60">
        <f t="shared" si="26"/>
        <v>18.45</v>
      </c>
      <c r="AV60" t="s">
        <v>184</v>
      </c>
      <c r="AW60">
        <f t="shared" si="13"/>
        <v>37.729999999999997</v>
      </c>
      <c r="AX60">
        <f t="shared" si="14"/>
        <v>37.729999999999997</v>
      </c>
    </row>
    <row r="61" spans="3:50" ht="15.75" x14ac:dyDescent="0.25">
      <c r="C61" s="90" t="str">
        <f>Šachty!J57</f>
        <v>Š32</v>
      </c>
      <c r="D61" s="47">
        <f>Šachty!K57</f>
        <v>1</v>
      </c>
      <c r="E61" s="47">
        <f>Šachty!M57</f>
        <v>0</v>
      </c>
      <c r="F61" s="34">
        <f>Šachty!N57</f>
        <v>2.5</v>
      </c>
      <c r="G61" s="34">
        <f>Šachty!O57</f>
        <v>2.1</v>
      </c>
      <c r="H61" s="34">
        <f>Šachty!P57</f>
        <v>2.8</v>
      </c>
      <c r="I61" s="34">
        <f>Šachty!R57</f>
        <v>0.35</v>
      </c>
      <c r="J61" s="34">
        <f t="shared" si="15"/>
        <v>14.7</v>
      </c>
      <c r="K61" s="34">
        <f>Šachty!S57-J61</f>
        <v>0</v>
      </c>
      <c r="L61" t="str">
        <f>Šachty!X57</f>
        <v>Pro zadláždění</v>
      </c>
      <c r="M61" t="str">
        <f>Šachty!Y57</f>
        <v>ŽB. šachta</v>
      </c>
      <c r="N61">
        <f>Šachty!Z57</f>
        <v>1</v>
      </c>
      <c r="O61" t="str">
        <f>Šachty!AA57</f>
        <v>Nástupiště</v>
      </c>
      <c r="P61" s="34" t="str">
        <f>Šachty!AE57</f>
        <v>ano</v>
      </c>
      <c r="Q61" s="47" t="str">
        <f>Šachty!AI57</f>
        <v>ano</v>
      </c>
      <c r="R61" t="str">
        <f>Šachty!AL57</f>
        <v>ANO</v>
      </c>
      <c r="S61" t="s">
        <v>249</v>
      </c>
      <c r="T61">
        <f>IF(Šachty!AO57="ano",IF(S61="ano",1,0),0)</f>
        <v>0</v>
      </c>
      <c r="V61" s="34">
        <f t="shared" si="27"/>
        <v>0</v>
      </c>
      <c r="W61" s="34">
        <f t="shared" si="31"/>
        <v>0.17499999999999993</v>
      </c>
      <c r="X61" s="34">
        <f t="shared" si="16"/>
        <v>0</v>
      </c>
      <c r="Y61" s="34">
        <f t="shared" si="17"/>
        <v>0</v>
      </c>
      <c r="Z61" s="34">
        <f t="shared" si="18"/>
        <v>0</v>
      </c>
      <c r="AA61" s="34">
        <f t="shared" si="32"/>
        <v>18.45</v>
      </c>
      <c r="AB61" s="34">
        <f t="shared" si="33"/>
        <v>0.15</v>
      </c>
      <c r="AC61" s="34">
        <f t="shared" si="19"/>
        <v>2.7674999999999996</v>
      </c>
      <c r="AD61" s="2"/>
      <c r="AE61" s="2"/>
      <c r="AF61">
        <f t="shared" si="34"/>
        <v>1</v>
      </c>
      <c r="AG61" s="34">
        <f t="shared" si="35"/>
        <v>17.600000000000001</v>
      </c>
      <c r="AH61" s="34">
        <f t="shared" si="21"/>
        <v>0</v>
      </c>
      <c r="AI61" s="34"/>
      <c r="AJ61" s="90" t="str">
        <f t="shared" si="30"/>
        <v>Š32</v>
      </c>
      <c r="AM61" s="90" t="str">
        <f t="shared" si="10"/>
        <v>Š32</v>
      </c>
      <c r="AN61" t="str">
        <f t="shared" si="22"/>
        <v>ano</v>
      </c>
      <c r="AO61" s="34">
        <f t="shared" si="23"/>
        <v>1</v>
      </c>
      <c r="AP61">
        <f t="shared" si="24"/>
        <v>37.729999999999997</v>
      </c>
      <c r="AR61" t="str">
        <f t="shared" si="28"/>
        <v>ano</v>
      </c>
      <c r="AS61">
        <f t="shared" si="25"/>
        <v>75.459999999999994</v>
      </c>
      <c r="AT61" t="str">
        <f t="shared" si="29"/>
        <v>ANO</v>
      </c>
      <c r="AU61">
        <f t="shared" si="26"/>
        <v>18.45</v>
      </c>
      <c r="AV61" t="s">
        <v>184</v>
      </c>
      <c r="AW61">
        <f t="shared" si="13"/>
        <v>37.729999999999997</v>
      </c>
      <c r="AX61">
        <f t="shared" si="14"/>
        <v>37.729999999999997</v>
      </c>
    </row>
    <row r="62" spans="3:50" ht="15.75" x14ac:dyDescent="0.25">
      <c r="C62" s="90" t="str">
        <f>Šachty!J58</f>
        <v>Š33</v>
      </c>
      <c r="D62" s="47">
        <f>Šachty!K58</f>
        <v>0</v>
      </c>
      <c r="E62" s="47">
        <f>Šachty!M58</f>
        <v>1</v>
      </c>
      <c r="F62" s="34">
        <f>Šachty!N58</f>
        <v>1.4359999999999999</v>
      </c>
      <c r="G62" s="34">
        <f>Šachty!O58</f>
        <v>0.97599999999999998</v>
      </c>
      <c r="H62" s="34">
        <f>Šachty!P58</f>
        <v>1.35</v>
      </c>
      <c r="I62" s="34">
        <f>Šachty!R58</f>
        <v>0</v>
      </c>
      <c r="J62" s="34">
        <f t="shared" si="15"/>
        <v>1.8920736</v>
      </c>
      <c r="K62" s="34">
        <f>Šachty!S58-J62</f>
        <v>0</v>
      </c>
      <c r="L62" t="str">
        <f>Šachty!X58</f>
        <v>Pro zadláždění</v>
      </c>
      <c r="M62" t="str">
        <f>Šachty!Y58</f>
        <v>pro pl. šachtu</v>
      </c>
      <c r="N62">
        <f>Šachty!Z58</f>
        <v>1</v>
      </c>
      <c r="O62" t="str">
        <f>Šachty!AA58</f>
        <v>Nástupiště</v>
      </c>
      <c r="P62" s="34" t="str">
        <f>Šachty!AE58</f>
        <v>ne</v>
      </c>
      <c r="Q62" s="47" t="str">
        <f>Šachty!AI58</f>
        <v>NE</v>
      </c>
      <c r="R62" t="str">
        <f>Šachty!AL58</f>
        <v>ANO</v>
      </c>
      <c r="S62" t="s">
        <v>249</v>
      </c>
      <c r="T62">
        <f>IF(Šachty!AO58="ano",IF(S62="ano",1,0),0)</f>
        <v>0</v>
      </c>
      <c r="V62" s="34">
        <f t="shared" si="27"/>
        <v>3.1420735999999998</v>
      </c>
      <c r="W62" s="34">
        <f t="shared" si="31"/>
        <v>0</v>
      </c>
      <c r="X62" s="34">
        <f t="shared" si="16"/>
        <v>0</v>
      </c>
      <c r="Y62" s="34">
        <f t="shared" si="17"/>
        <v>1.25</v>
      </c>
      <c r="Z62" s="34">
        <f t="shared" si="18"/>
        <v>1.25</v>
      </c>
      <c r="AA62" s="34">
        <f t="shared" si="32"/>
        <v>7.2695359999999996</v>
      </c>
      <c r="AB62" s="34">
        <f t="shared" si="33"/>
        <v>0.1</v>
      </c>
      <c r="AC62" s="34">
        <f t="shared" si="19"/>
        <v>0.72695359999999998</v>
      </c>
      <c r="AD62" s="2"/>
      <c r="AE62" s="2"/>
      <c r="AF62">
        <f t="shared" si="34"/>
        <v>0</v>
      </c>
      <c r="AG62" s="34">
        <f t="shared" si="35"/>
        <v>0</v>
      </c>
      <c r="AH62" s="34">
        <f t="shared" si="21"/>
        <v>0</v>
      </c>
      <c r="AI62" s="34"/>
      <c r="AJ62" s="90" t="str">
        <f t="shared" si="30"/>
        <v>Š33</v>
      </c>
      <c r="AM62" s="90" t="str">
        <f t="shared" si="10"/>
        <v>Š33</v>
      </c>
      <c r="AN62" t="str">
        <f t="shared" si="22"/>
        <v>ne</v>
      </c>
      <c r="AO62" s="34">
        <f t="shared" si="23"/>
        <v>0</v>
      </c>
      <c r="AP62">
        <f t="shared" si="24"/>
        <v>0</v>
      </c>
      <c r="AR62" t="str">
        <f t="shared" si="28"/>
        <v>NE</v>
      </c>
      <c r="AS62">
        <f t="shared" si="25"/>
        <v>0</v>
      </c>
      <c r="AU62">
        <f t="shared" si="26"/>
        <v>0</v>
      </c>
      <c r="AW62">
        <f t="shared" si="13"/>
        <v>10.129072000000001</v>
      </c>
      <c r="AX62">
        <f t="shared" si="14"/>
        <v>0</v>
      </c>
    </row>
    <row r="63" spans="3:50" ht="15.75" x14ac:dyDescent="0.25">
      <c r="C63" s="90" t="str">
        <f>Šachty!J59</f>
        <v>Š34</v>
      </c>
      <c r="D63" s="47">
        <f>Šachty!K59</f>
        <v>0</v>
      </c>
      <c r="E63" s="47">
        <f>Šachty!M59</f>
        <v>1</v>
      </c>
      <c r="F63" s="34">
        <f>Šachty!N59</f>
        <v>1.4359999999999999</v>
      </c>
      <c r="G63" s="34">
        <f>Šachty!O59</f>
        <v>0.97599999999999998</v>
      </c>
      <c r="H63" s="34">
        <f>Šachty!P59</f>
        <v>1.35</v>
      </c>
      <c r="I63" s="34">
        <f>Šachty!R59</f>
        <v>0</v>
      </c>
      <c r="J63" s="34">
        <f t="shared" si="15"/>
        <v>1.8920736</v>
      </c>
      <c r="K63" s="34">
        <f>Šachty!S59-J63</f>
        <v>0</v>
      </c>
      <c r="L63" t="str">
        <f>Šachty!X59</f>
        <v>Pro zadláždění</v>
      </c>
      <c r="M63" t="str">
        <f>Šachty!Y59</f>
        <v>pro pl. šachtu</v>
      </c>
      <c r="N63">
        <f>Šachty!Z59</f>
        <v>1</v>
      </c>
      <c r="O63" t="str">
        <f>Šachty!AA59</f>
        <v>Nástupiště</v>
      </c>
      <c r="P63" s="34" t="str">
        <f>Šachty!AE59</f>
        <v>NE</v>
      </c>
      <c r="Q63" s="47" t="str">
        <f>Šachty!AI59</f>
        <v>NE</v>
      </c>
      <c r="R63" t="str">
        <f>Šachty!AL59</f>
        <v>ANO</v>
      </c>
      <c r="S63" t="s">
        <v>249</v>
      </c>
      <c r="T63">
        <f>IF(Šachty!AO59="ano",IF(S63="ano",1,0),0)</f>
        <v>0</v>
      </c>
      <c r="V63" s="34">
        <f t="shared" si="27"/>
        <v>3.1420735999999998</v>
      </c>
      <c r="W63" s="34">
        <f t="shared" si="31"/>
        <v>0</v>
      </c>
      <c r="X63" s="34">
        <f t="shared" si="16"/>
        <v>0</v>
      </c>
      <c r="Y63" s="34">
        <f t="shared" si="17"/>
        <v>1.25</v>
      </c>
      <c r="Z63" s="34">
        <f t="shared" si="18"/>
        <v>1.25</v>
      </c>
      <c r="AA63" s="34">
        <f t="shared" si="32"/>
        <v>7.2695359999999996</v>
      </c>
      <c r="AB63" s="34">
        <f t="shared" si="33"/>
        <v>0.1</v>
      </c>
      <c r="AC63" s="34">
        <f t="shared" si="19"/>
        <v>0.72695359999999998</v>
      </c>
      <c r="AD63" s="2"/>
      <c r="AE63" s="2"/>
      <c r="AF63">
        <f t="shared" si="34"/>
        <v>0</v>
      </c>
      <c r="AG63" s="34">
        <f t="shared" si="35"/>
        <v>0</v>
      </c>
      <c r="AH63" s="34">
        <f t="shared" si="21"/>
        <v>0</v>
      </c>
      <c r="AI63" s="34"/>
      <c r="AJ63" s="90" t="str">
        <f t="shared" si="30"/>
        <v>Š34</v>
      </c>
      <c r="AM63" s="90" t="str">
        <f t="shared" si="10"/>
        <v>Š34</v>
      </c>
      <c r="AN63" t="str">
        <f t="shared" si="22"/>
        <v>NE</v>
      </c>
      <c r="AO63" s="34">
        <f t="shared" si="23"/>
        <v>0</v>
      </c>
      <c r="AP63">
        <f t="shared" si="24"/>
        <v>0</v>
      </c>
      <c r="AR63" t="str">
        <f t="shared" si="28"/>
        <v>NE</v>
      </c>
      <c r="AS63">
        <f t="shared" si="25"/>
        <v>0</v>
      </c>
      <c r="AU63">
        <f t="shared" si="26"/>
        <v>0</v>
      </c>
      <c r="AW63">
        <f t="shared" si="13"/>
        <v>10.129072000000001</v>
      </c>
      <c r="AX63">
        <f t="shared" si="14"/>
        <v>0</v>
      </c>
    </row>
    <row r="64" spans="3:50" ht="15.75" x14ac:dyDescent="0.25">
      <c r="C64" s="90" t="str">
        <f>Šachty!J60</f>
        <v>Š35</v>
      </c>
      <c r="D64" s="47">
        <f>Šachty!K60</f>
        <v>0</v>
      </c>
      <c r="E64" s="47">
        <f>Šachty!M60</f>
        <v>1</v>
      </c>
      <c r="F64" s="34">
        <f>Šachty!N60</f>
        <v>1.4359999999999999</v>
      </c>
      <c r="G64" s="34">
        <f>Šachty!O60</f>
        <v>0.97599999999999998</v>
      </c>
      <c r="H64" s="34">
        <f>Šachty!P60</f>
        <v>1.35</v>
      </c>
      <c r="I64" s="34">
        <f>Šachty!R60</f>
        <v>0</v>
      </c>
      <c r="J64" s="34">
        <f t="shared" si="15"/>
        <v>1.8920736</v>
      </c>
      <c r="K64" s="34">
        <f>Šachty!S60-J64</f>
        <v>0</v>
      </c>
      <c r="L64" t="str">
        <f>Šachty!X60</f>
        <v>Pro zadláždění</v>
      </c>
      <c r="M64" t="str">
        <f>Šachty!Y60</f>
        <v>pro pl. šachtu</v>
      </c>
      <c r="N64">
        <f>Šachty!Z60</f>
        <v>1</v>
      </c>
      <c r="O64" t="str">
        <f>Šachty!AA60</f>
        <v>Nástupiště</v>
      </c>
      <c r="P64" s="34" t="str">
        <f>Šachty!AE60</f>
        <v>NE</v>
      </c>
      <c r="Q64" s="47" t="str">
        <f>Šachty!AI60</f>
        <v>NE</v>
      </c>
      <c r="R64" t="str">
        <f>Šachty!AL60</f>
        <v>ANO</v>
      </c>
      <c r="S64" t="s">
        <v>249</v>
      </c>
      <c r="T64">
        <f>IF(Šachty!AO60="ano",IF(S64="ano",1,0),0)</f>
        <v>0</v>
      </c>
      <c r="V64" s="34">
        <f t="shared" si="27"/>
        <v>3.1420735999999998</v>
      </c>
      <c r="W64" s="34">
        <f t="shared" si="31"/>
        <v>0</v>
      </c>
      <c r="X64" s="34">
        <f t="shared" si="16"/>
        <v>0</v>
      </c>
      <c r="Y64" s="34">
        <f t="shared" si="17"/>
        <v>1.25</v>
      </c>
      <c r="Z64" s="34">
        <f t="shared" si="18"/>
        <v>1.25</v>
      </c>
      <c r="AA64" s="34">
        <f t="shared" si="32"/>
        <v>7.2695359999999996</v>
      </c>
      <c r="AB64" s="34">
        <f t="shared" si="33"/>
        <v>0.1</v>
      </c>
      <c r="AC64" s="34">
        <f t="shared" si="19"/>
        <v>0.72695359999999998</v>
      </c>
      <c r="AD64" s="2"/>
      <c r="AE64" s="2"/>
      <c r="AF64">
        <f t="shared" si="34"/>
        <v>0</v>
      </c>
      <c r="AG64" s="34">
        <f t="shared" si="35"/>
        <v>0</v>
      </c>
      <c r="AH64" s="34">
        <f t="shared" si="21"/>
        <v>0</v>
      </c>
      <c r="AI64" s="34"/>
      <c r="AJ64" s="90" t="str">
        <f t="shared" si="30"/>
        <v>Š35</v>
      </c>
      <c r="AM64" s="90" t="str">
        <f t="shared" si="10"/>
        <v>Š35</v>
      </c>
      <c r="AN64" t="str">
        <f t="shared" si="22"/>
        <v>NE</v>
      </c>
      <c r="AO64" s="34">
        <f t="shared" si="23"/>
        <v>0</v>
      </c>
      <c r="AP64">
        <f t="shared" si="24"/>
        <v>0</v>
      </c>
      <c r="AR64" t="str">
        <f t="shared" si="28"/>
        <v>NE</v>
      </c>
      <c r="AS64">
        <f t="shared" si="25"/>
        <v>0</v>
      </c>
      <c r="AU64">
        <f t="shared" si="26"/>
        <v>0</v>
      </c>
      <c r="AW64">
        <f t="shared" si="13"/>
        <v>10.129072000000001</v>
      </c>
      <c r="AX64">
        <f t="shared" si="14"/>
        <v>0</v>
      </c>
    </row>
    <row r="65" spans="3:50" ht="15.75" x14ac:dyDescent="0.25">
      <c r="C65" s="90" t="str">
        <f>Šachty!J61</f>
        <v>Š36</v>
      </c>
      <c r="D65" s="47">
        <f>Šachty!K61</f>
        <v>1</v>
      </c>
      <c r="E65" s="47">
        <f>Šachty!M61</f>
        <v>0</v>
      </c>
      <c r="F65" s="34">
        <f>Šachty!N61</f>
        <v>2.5</v>
      </c>
      <c r="G65" s="34">
        <f>Šachty!O61</f>
        <v>2.1</v>
      </c>
      <c r="H65" s="34">
        <f>Šachty!P61</f>
        <v>2.8</v>
      </c>
      <c r="I65" s="34">
        <f>Šachty!R61</f>
        <v>0.35</v>
      </c>
      <c r="J65" s="34">
        <f t="shared" si="15"/>
        <v>14.7</v>
      </c>
      <c r="K65" s="34">
        <f>Šachty!S61-J65</f>
        <v>0</v>
      </c>
      <c r="L65" t="str">
        <f>Šachty!X61</f>
        <v>Pro zadláždění</v>
      </c>
      <c r="M65" t="str">
        <f>Šachty!Y61</f>
        <v>ŽB. šachta</v>
      </c>
      <c r="N65">
        <f>Šachty!Z61</f>
        <v>1</v>
      </c>
      <c r="O65" t="str">
        <f>Šachty!AA61</f>
        <v>Nástupiště</v>
      </c>
      <c r="P65" s="34" t="str">
        <f>Šachty!AE61</f>
        <v>ano</v>
      </c>
      <c r="Q65" s="47" t="str">
        <f>Šachty!AI61</f>
        <v>ano</v>
      </c>
      <c r="R65" t="str">
        <f>Šachty!AL61</f>
        <v>ANO</v>
      </c>
      <c r="S65" t="s">
        <v>249</v>
      </c>
      <c r="T65">
        <f>IF(Šachty!AO61="ano",IF(S65="ano",1,0),0)</f>
        <v>0</v>
      </c>
      <c r="V65" s="34">
        <f t="shared" si="27"/>
        <v>0</v>
      </c>
      <c r="W65" s="34">
        <f t="shared" si="31"/>
        <v>0.17499999999999993</v>
      </c>
      <c r="X65" s="34">
        <f t="shared" si="16"/>
        <v>0</v>
      </c>
      <c r="Y65" s="34">
        <f t="shared" si="17"/>
        <v>0</v>
      </c>
      <c r="Z65" s="34">
        <f t="shared" si="18"/>
        <v>0</v>
      </c>
      <c r="AA65" s="34">
        <f t="shared" si="32"/>
        <v>18.45</v>
      </c>
      <c r="AB65" s="34">
        <f t="shared" si="33"/>
        <v>0.15</v>
      </c>
      <c r="AC65" s="34">
        <f t="shared" si="19"/>
        <v>2.7674999999999996</v>
      </c>
      <c r="AD65" s="2"/>
      <c r="AE65" s="2"/>
      <c r="AF65">
        <f t="shared" si="34"/>
        <v>1</v>
      </c>
      <c r="AG65" s="34">
        <f t="shared" si="35"/>
        <v>17.600000000000001</v>
      </c>
      <c r="AH65" s="34">
        <f t="shared" si="21"/>
        <v>0</v>
      </c>
      <c r="AI65" s="34"/>
      <c r="AJ65" s="90" t="str">
        <f t="shared" si="30"/>
        <v>Š36</v>
      </c>
      <c r="AM65" s="90" t="str">
        <f t="shared" si="10"/>
        <v>Š36</v>
      </c>
      <c r="AN65" t="str">
        <f t="shared" si="22"/>
        <v>ano</v>
      </c>
      <c r="AO65" s="34">
        <f t="shared" si="23"/>
        <v>1</v>
      </c>
      <c r="AP65">
        <f t="shared" si="24"/>
        <v>37.729999999999997</v>
      </c>
      <c r="AR65" t="str">
        <f t="shared" si="28"/>
        <v>ano</v>
      </c>
      <c r="AS65">
        <f t="shared" si="25"/>
        <v>75.459999999999994</v>
      </c>
      <c r="AT65" t="str">
        <f t="shared" si="29"/>
        <v>ANO</v>
      </c>
      <c r="AU65">
        <f t="shared" si="26"/>
        <v>18.45</v>
      </c>
      <c r="AV65" t="s">
        <v>184</v>
      </c>
      <c r="AW65">
        <f t="shared" si="13"/>
        <v>37.729999999999997</v>
      </c>
      <c r="AX65">
        <f t="shared" si="14"/>
        <v>37.729999999999997</v>
      </c>
    </row>
    <row r="66" spans="3:50" ht="15.75" x14ac:dyDescent="0.25">
      <c r="C66" s="90" t="str">
        <f>Šachty!J62</f>
        <v>Š37</v>
      </c>
      <c r="D66" s="47">
        <f>Šachty!K62</f>
        <v>1</v>
      </c>
      <c r="E66" s="47">
        <f>Šachty!M62</f>
        <v>0</v>
      </c>
      <c r="F66" s="34">
        <f>Šachty!N62</f>
        <v>2.1</v>
      </c>
      <c r="G66" s="34">
        <f>Šachty!O62</f>
        <v>2.1</v>
      </c>
      <c r="H66" s="34">
        <f>Šachty!P62</f>
        <v>2.8</v>
      </c>
      <c r="I66" s="34">
        <f>Šachty!R62</f>
        <v>0.35</v>
      </c>
      <c r="J66" s="34">
        <f t="shared" si="15"/>
        <v>12.347999999999999</v>
      </c>
      <c r="K66" s="34">
        <f>Šachty!S62-J66</f>
        <v>0</v>
      </c>
      <c r="L66" t="str">
        <f>Šachty!X62</f>
        <v>Pro zadláždění</v>
      </c>
      <c r="M66" t="str">
        <f>Šachty!Y62</f>
        <v>ŽB. šachta</v>
      </c>
      <c r="N66">
        <f>Šachty!Z62</f>
        <v>1</v>
      </c>
      <c r="O66" t="str">
        <f>Šachty!AA62</f>
        <v>Nástupiště</v>
      </c>
      <c r="P66" s="34" t="str">
        <f>Šachty!AE62</f>
        <v>ano</v>
      </c>
      <c r="Q66" s="47" t="str">
        <f>Šachty!AI62</f>
        <v>ano</v>
      </c>
      <c r="R66" t="str">
        <f>Šachty!AL62</f>
        <v>ANO</v>
      </c>
      <c r="S66" t="s">
        <v>249</v>
      </c>
      <c r="T66">
        <f>IF(Šachty!AO62="ano",IF(S66="ano",1,0),0)</f>
        <v>0</v>
      </c>
      <c r="V66" s="34">
        <f t="shared" si="27"/>
        <v>0</v>
      </c>
      <c r="W66" s="34">
        <f t="shared" si="31"/>
        <v>0.17499999999999993</v>
      </c>
      <c r="X66" s="34">
        <f t="shared" si="16"/>
        <v>0</v>
      </c>
      <c r="Y66" s="34">
        <f t="shared" si="17"/>
        <v>0</v>
      </c>
      <c r="Z66" s="34">
        <f t="shared" si="18"/>
        <v>0</v>
      </c>
      <c r="AA66" s="34">
        <f t="shared" si="32"/>
        <v>16.809999999999999</v>
      </c>
      <c r="AB66" s="34">
        <f t="shared" si="33"/>
        <v>0.15</v>
      </c>
      <c r="AC66" s="34">
        <f t="shared" si="19"/>
        <v>2.5214999999999996</v>
      </c>
      <c r="AD66" s="2"/>
      <c r="AE66" s="2"/>
      <c r="AF66">
        <f t="shared" si="34"/>
        <v>1</v>
      </c>
      <c r="AG66" s="34">
        <f t="shared" si="35"/>
        <v>16</v>
      </c>
      <c r="AH66" s="34">
        <f t="shared" si="21"/>
        <v>0</v>
      </c>
      <c r="AI66" s="34"/>
      <c r="AJ66" s="90" t="str">
        <f t="shared" si="30"/>
        <v>Š37</v>
      </c>
      <c r="AM66" s="90" t="str">
        <f t="shared" si="10"/>
        <v>Š37</v>
      </c>
      <c r="AN66" t="str">
        <f t="shared" si="22"/>
        <v>ano</v>
      </c>
      <c r="AO66" s="34">
        <f t="shared" si="23"/>
        <v>1</v>
      </c>
      <c r="AP66">
        <f t="shared" si="24"/>
        <v>33.69</v>
      </c>
      <c r="AR66" t="str">
        <f t="shared" si="28"/>
        <v>ano</v>
      </c>
      <c r="AS66">
        <f t="shared" si="25"/>
        <v>67.38</v>
      </c>
      <c r="AT66" t="str">
        <f t="shared" si="29"/>
        <v>ANO</v>
      </c>
      <c r="AU66">
        <f t="shared" si="26"/>
        <v>16.809999999999999</v>
      </c>
      <c r="AV66" t="s">
        <v>184</v>
      </c>
      <c r="AW66">
        <f t="shared" si="13"/>
        <v>33.69</v>
      </c>
      <c r="AX66">
        <f t="shared" si="14"/>
        <v>33.69</v>
      </c>
    </row>
    <row r="67" spans="3:50" ht="15.75" x14ac:dyDescent="0.25">
      <c r="C67" s="90" t="str">
        <f>Šachty!J63</f>
        <v>Š38</v>
      </c>
      <c r="D67" s="47">
        <f>Šachty!K63</f>
        <v>0</v>
      </c>
      <c r="E67" s="47">
        <f>Šachty!M63</f>
        <v>1</v>
      </c>
      <c r="F67" s="34">
        <f>Šachty!N63</f>
        <v>1.4359999999999999</v>
      </c>
      <c r="G67" s="34">
        <f>Šachty!O63</f>
        <v>0.97599999999999998</v>
      </c>
      <c r="H67" s="34">
        <f>Šachty!P63</f>
        <v>1.35</v>
      </c>
      <c r="I67" s="34">
        <f>Šachty!R63</f>
        <v>0</v>
      </c>
      <c r="J67" s="34">
        <f t="shared" si="15"/>
        <v>1.8920736</v>
      </c>
      <c r="K67" s="34">
        <f>Šachty!S63-J67</f>
        <v>0</v>
      </c>
      <c r="L67" t="str">
        <f>Šachty!X63</f>
        <v>Pro zadláždění</v>
      </c>
      <c r="M67" t="str">
        <f>Šachty!Y63</f>
        <v>pro pl. šachtu</v>
      </c>
      <c r="N67">
        <f>Šachty!Z63</f>
        <v>1</v>
      </c>
      <c r="O67" t="str">
        <f>Šachty!AA63</f>
        <v>Nástupiště</v>
      </c>
      <c r="P67" s="34" t="str">
        <f>Šachty!AE63</f>
        <v>ne</v>
      </c>
      <c r="Q67" s="47" t="str">
        <f>Šachty!AI63</f>
        <v>ne</v>
      </c>
      <c r="R67" t="str">
        <f>Šachty!AL63</f>
        <v>ANO</v>
      </c>
      <c r="S67" t="s">
        <v>249</v>
      </c>
      <c r="T67">
        <f>IF(Šachty!AO63="ano",IF(S67="ano",1,0),0)</f>
        <v>0</v>
      </c>
      <c r="V67" s="34">
        <f t="shared" si="27"/>
        <v>3.1420735999999998</v>
      </c>
      <c r="W67" s="34">
        <f t="shared" si="31"/>
        <v>0</v>
      </c>
      <c r="X67" s="34">
        <f t="shared" si="16"/>
        <v>0</v>
      </c>
      <c r="Y67" s="34">
        <f t="shared" si="17"/>
        <v>1.25</v>
      </c>
      <c r="Z67" s="34">
        <f t="shared" si="18"/>
        <v>1.25</v>
      </c>
      <c r="AA67" s="34">
        <f t="shared" si="32"/>
        <v>7.2695359999999996</v>
      </c>
      <c r="AB67" s="34">
        <f t="shared" si="33"/>
        <v>0.1</v>
      </c>
      <c r="AC67" s="34">
        <f t="shared" si="19"/>
        <v>0.72695359999999998</v>
      </c>
      <c r="AD67" s="2"/>
      <c r="AE67" s="2"/>
      <c r="AF67">
        <f t="shared" si="34"/>
        <v>0</v>
      </c>
      <c r="AG67" s="34">
        <f t="shared" si="35"/>
        <v>0</v>
      </c>
      <c r="AH67" s="34">
        <f t="shared" si="21"/>
        <v>0</v>
      </c>
      <c r="AI67" s="34"/>
      <c r="AJ67" s="90" t="str">
        <f t="shared" si="30"/>
        <v>Š38</v>
      </c>
      <c r="AM67" s="90" t="str">
        <f t="shared" si="10"/>
        <v>Š38</v>
      </c>
      <c r="AN67" t="str">
        <f t="shared" si="22"/>
        <v>ne</v>
      </c>
      <c r="AO67" s="34">
        <f t="shared" si="23"/>
        <v>0</v>
      </c>
      <c r="AP67">
        <f t="shared" si="24"/>
        <v>0</v>
      </c>
      <c r="AR67" t="str">
        <f t="shared" si="28"/>
        <v>ne</v>
      </c>
      <c r="AS67">
        <f t="shared" si="25"/>
        <v>0</v>
      </c>
      <c r="AU67">
        <f t="shared" si="26"/>
        <v>0</v>
      </c>
      <c r="AV67" t="s">
        <v>184</v>
      </c>
      <c r="AW67">
        <f t="shared" si="13"/>
        <v>10.129072000000001</v>
      </c>
      <c r="AX67">
        <f t="shared" si="14"/>
        <v>10.129072000000001</v>
      </c>
    </row>
    <row r="68" spans="3:50" ht="15.75" x14ac:dyDescent="0.25">
      <c r="C68" s="90" t="str">
        <f>Šachty!J64</f>
        <v>Š39</v>
      </c>
      <c r="D68" s="47">
        <f>Šachty!K64</f>
        <v>0</v>
      </c>
      <c r="E68" s="47">
        <f>Šachty!M64</f>
        <v>1</v>
      </c>
      <c r="F68" s="34">
        <f>Šachty!N64</f>
        <v>1.325</v>
      </c>
      <c r="G68" s="34">
        <f>Šachty!O64</f>
        <v>1.325</v>
      </c>
      <c r="H68" s="34">
        <f>Šachty!P64</f>
        <v>1.35</v>
      </c>
      <c r="I68" s="34">
        <f>Šachty!R64</f>
        <v>0</v>
      </c>
      <c r="J68" s="34">
        <f t="shared" si="15"/>
        <v>2.3700937500000001</v>
      </c>
      <c r="K68" s="34">
        <f>Šachty!S64-J68</f>
        <v>0</v>
      </c>
      <c r="L68" t="str">
        <f>Šachty!X64</f>
        <v>Pro zadláždění</v>
      </c>
      <c r="M68" t="str">
        <f>Šachty!Y64</f>
        <v>pro pl. šachtu</v>
      </c>
      <c r="N68">
        <f>Šachty!Z64</f>
        <v>1</v>
      </c>
      <c r="O68" t="str">
        <f>Šachty!AA64</f>
        <v>Nástupiště</v>
      </c>
      <c r="P68" s="34" t="str">
        <f>Šachty!AE64</f>
        <v>ne</v>
      </c>
      <c r="Q68" s="47" t="str">
        <f>Šachty!AI64</f>
        <v>ne</v>
      </c>
      <c r="R68" t="str">
        <f>Šachty!AL64</f>
        <v>ANO</v>
      </c>
      <c r="S68" t="s">
        <v>249</v>
      </c>
      <c r="T68">
        <f>IF(Šachty!AO64="ano",IF(S68="ano",1,0),0)</f>
        <v>0</v>
      </c>
      <c r="V68" s="34">
        <f t="shared" si="27"/>
        <v>3.6200937500000001</v>
      </c>
      <c r="W68" s="34">
        <f t="shared" si="31"/>
        <v>0</v>
      </c>
      <c r="X68" s="34">
        <f t="shared" si="16"/>
        <v>0</v>
      </c>
      <c r="Y68" s="34">
        <f t="shared" si="17"/>
        <v>1.25</v>
      </c>
      <c r="Z68" s="34">
        <f t="shared" si="18"/>
        <v>1.25</v>
      </c>
      <c r="AA68" s="34">
        <f t="shared" si="32"/>
        <v>7.9806250000000007</v>
      </c>
      <c r="AB68" s="34">
        <f t="shared" si="33"/>
        <v>0.1</v>
      </c>
      <c r="AC68" s="34">
        <f t="shared" si="19"/>
        <v>0.79806250000000012</v>
      </c>
      <c r="AD68" s="2"/>
      <c r="AE68" s="2"/>
      <c r="AF68">
        <f t="shared" si="34"/>
        <v>0</v>
      </c>
      <c r="AG68" s="34">
        <f t="shared" si="35"/>
        <v>0</v>
      </c>
      <c r="AH68" s="34">
        <f t="shared" si="21"/>
        <v>0</v>
      </c>
      <c r="AI68" s="34"/>
      <c r="AJ68" s="90" t="str">
        <f t="shared" si="30"/>
        <v>Š39</v>
      </c>
      <c r="AM68" s="90" t="str">
        <f t="shared" si="10"/>
        <v>Š39</v>
      </c>
      <c r="AN68" t="str">
        <f t="shared" si="22"/>
        <v>ne</v>
      </c>
      <c r="AO68" s="34">
        <f t="shared" si="23"/>
        <v>0</v>
      </c>
      <c r="AP68">
        <f t="shared" si="24"/>
        <v>0</v>
      </c>
      <c r="AR68" t="str">
        <f t="shared" si="28"/>
        <v>ne</v>
      </c>
      <c r="AS68">
        <f t="shared" si="25"/>
        <v>0</v>
      </c>
      <c r="AU68">
        <f t="shared" si="26"/>
        <v>0</v>
      </c>
      <c r="AV68" t="s">
        <v>184</v>
      </c>
      <c r="AW68">
        <f t="shared" si="13"/>
        <v>11.55125</v>
      </c>
      <c r="AX68">
        <f t="shared" si="14"/>
        <v>11.55125</v>
      </c>
    </row>
    <row r="69" spans="3:50" ht="15.75" x14ac:dyDescent="0.25">
      <c r="C69" s="90" t="str">
        <f>Šachty!J65</f>
        <v>Š40</v>
      </c>
      <c r="D69" s="47">
        <f>Šachty!K65</f>
        <v>0</v>
      </c>
      <c r="E69" s="47">
        <f>Šachty!M65</f>
        <v>1</v>
      </c>
      <c r="F69" s="34">
        <f>Šachty!N65</f>
        <v>1.325</v>
      </c>
      <c r="G69" s="34">
        <f>Šachty!O65</f>
        <v>1.325</v>
      </c>
      <c r="H69" s="34">
        <f>Šachty!P65</f>
        <v>1.35</v>
      </c>
      <c r="I69" s="34">
        <f>Šachty!R65</f>
        <v>0</v>
      </c>
      <c r="J69" s="34">
        <f t="shared" si="15"/>
        <v>2.3700937500000001</v>
      </c>
      <c r="K69" s="34">
        <f>Šachty!S65-J69</f>
        <v>0</v>
      </c>
      <c r="L69" t="str">
        <f>Šachty!X65</f>
        <v>Pro zadláždění</v>
      </c>
      <c r="M69" t="str">
        <f>Šachty!Y65</f>
        <v>pro pl. šachtu</v>
      </c>
      <c r="N69">
        <f>Šachty!Z65</f>
        <v>1</v>
      </c>
      <c r="O69" t="str">
        <f>Šachty!AA65</f>
        <v>Nástupiště</v>
      </c>
      <c r="P69" s="34" t="str">
        <f>Šachty!AE65</f>
        <v>NE</v>
      </c>
      <c r="Q69" s="47" t="str">
        <f>Šachty!AI65</f>
        <v>NE</v>
      </c>
      <c r="R69" t="str">
        <f>Šachty!AL65</f>
        <v>ANO</v>
      </c>
      <c r="S69" t="s">
        <v>249</v>
      </c>
      <c r="T69">
        <f>IF(Šachty!AO65="ano",IF(S69="ano",1,0),0)</f>
        <v>0</v>
      </c>
      <c r="V69" s="34">
        <f t="shared" si="27"/>
        <v>3.6200937500000001</v>
      </c>
      <c r="W69" s="34">
        <f t="shared" si="31"/>
        <v>0</v>
      </c>
      <c r="X69" s="34">
        <f t="shared" si="16"/>
        <v>0</v>
      </c>
      <c r="Y69" s="34">
        <f t="shared" si="17"/>
        <v>1.25</v>
      </c>
      <c r="Z69" s="34">
        <f t="shared" si="18"/>
        <v>1.25</v>
      </c>
      <c r="AA69" s="34">
        <f t="shared" si="32"/>
        <v>7.9806250000000007</v>
      </c>
      <c r="AB69" s="34">
        <f t="shared" si="33"/>
        <v>0.1</v>
      </c>
      <c r="AC69" s="34">
        <f t="shared" si="19"/>
        <v>0.79806250000000012</v>
      </c>
      <c r="AD69" s="2"/>
      <c r="AE69" s="2"/>
      <c r="AF69">
        <f t="shared" si="34"/>
        <v>0</v>
      </c>
      <c r="AG69" s="34">
        <f t="shared" si="35"/>
        <v>0</v>
      </c>
      <c r="AH69" s="34">
        <f t="shared" si="21"/>
        <v>0</v>
      </c>
      <c r="AI69" s="34"/>
      <c r="AJ69" s="90" t="str">
        <f t="shared" si="30"/>
        <v>Š40</v>
      </c>
      <c r="AM69" s="90" t="str">
        <f t="shared" si="10"/>
        <v>Š40</v>
      </c>
      <c r="AN69" t="str">
        <f t="shared" si="22"/>
        <v>NE</v>
      </c>
      <c r="AO69" s="34">
        <f t="shared" si="23"/>
        <v>0</v>
      </c>
      <c r="AP69">
        <f t="shared" si="24"/>
        <v>0</v>
      </c>
      <c r="AR69" t="str">
        <f t="shared" si="28"/>
        <v>NE</v>
      </c>
      <c r="AS69">
        <f t="shared" si="25"/>
        <v>0</v>
      </c>
      <c r="AU69">
        <f t="shared" si="26"/>
        <v>0</v>
      </c>
      <c r="AV69" t="s">
        <v>184</v>
      </c>
      <c r="AW69">
        <f t="shared" si="13"/>
        <v>11.55125</v>
      </c>
      <c r="AX69">
        <f t="shared" si="14"/>
        <v>11.55125</v>
      </c>
    </row>
    <row r="70" spans="3:50" ht="15.75" x14ac:dyDescent="0.25">
      <c r="C70" s="90" t="str">
        <f>Šachty!J66</f>
        <v>Š41</v>
      </c>
      <c r="D70" s="47">
        <f>Šachty!K66</f>
        <v>1</v>
      </c>
      <c r="E70" s="47">
        <f>Šachty!M66</f>
        <v>0</v>
      </c>
      <c r="F70" s="34">
        <f>Šachty!N66</f>
        <v>3</v>
      </c>
      <c r="G70" s="34">
        <f>Šachty!O66</f>
        <v>2.1</v>
      </c>
      <c r="H70" s="34">
        <f>Šachty!P66</f>
        <v>4</v>
      </c>
      <c r="I70" s="34">
        <f>Šachty!R66</f>
        <v>0.35</v>
      </c>
      <c r="J70" s="34">
        <f t="shared" si="15"/>
        <v>25.200000000000003</v>
      </c>
      <c r="K70" s="34">
        <f>Šachty!S66-J70</f>
        <v>0</v>
      </c>
      <c r="L70" t="str">
        <f>Šachty!X66</f>
        <v>Pro zadláždění</v>
      </c>
      <c r="M70" t="str">
        <f>Šachty!Y66</f>
        <v>ŽB. šachta</v>
      </c>
      <c r="N70">
        <f>Šachty!Z66</f>
        <v>1</v>
      </c>
      <c r="O70" t="str">
        <f>Šachty!AA66</f>
        <v>Nástupiště</v>
      </c>
      <c r="P70" s="34" t="str">
        <f>Šachty!AE66</f>
        <v>ano</v>
      </c>
      <c r="Q70" s="47" t="str">
        <f>Šachty!AI66</f>
        <v>ano</v>
      </c>
      <c r="R70" t="str">
        <f>Šachty!AL66</f>
        <v>ANO</v>
      </c>
      <c r="S70" t="s">
        <v>217</v>
      </c>
      <c r="T70">
        <f>IF(Šachty!AO66="ano",IF(S70="ano",1,0),0)</f>
        <v>1</v>
      </c>
      <c r="V70" s="34">
        <f t="shared" si="27"/>
        <v>30.176000000000002</v>
      </c>
      <c r="W70" s="34">
        <f t="shared" si="31"/>
        <v>0.17499999999999993</v>
      </c>
      <c r="X70" s="34">
        <f t="shared" si="16"/>
        <v>5.1509999999999989</v>
      </c>
      <c r="Y70" s="34">
        <f t="shared" si="17"/>
        <v>0</v>
      </c>
      <c r="Z70" s="34">
        <f t="shared" si="18"/>
        <v>5.1509999999999989</v>
      </c>
      <c r="AA70" s="34">
        <f t="shared" si="32"/>
        <v>20.5</v>
      </c>
      <c r="AB70" s="34">
        <f t="shared" si="33"/>
        <v>0.15</v>
      </c>
      <c r="AC70" s="34">
        <f t="shared" si="19"/>
        <v>3.0749999999999997</v>
      </c>
      <c r="AD70" s="2"/>
      <c r="AE70" s="2"/>
      <c r="AF70">
        <f t="shared" si="34"/>
        <v>1</v>
      </c>
      <c r="AG70" s="34">
        <f t="shared" si="35"/>
        <v>19.600000000000001</v>
      </c>
      <c r="AH70" s="34">
        <f t="shared" si="21"/>
        <v>47.099999999999994</v>
      </c>
      <c r="AI70" s="34"/>
      <c r="AJ70" s="90" t="str">
        <f t="shared" si="30"/>
        <v>Š41</v>
      </c>
      <c r="AM70" s="90" t="str">
        <f t="shared" si="10"/>
        <v>Š41</v>
      </c>
      <c r="AN70" t="str">
        <f t="shared" si="22"/>
        <v>ano</v>
      </c>
      <c r="AO70" s="34">
        <f t="shared" si="23"/>
        <v>1</v>
      </c>
      <c r="AP70">
        <f t="shared" si="24"/>
        <v>55.019999999999996</v>
      </c>
      <c r="AR70" t="str">
        <f t="shared" si="28"/>
        <v>ano</v>
      </c>
      <c r="AS70">
        <f t="shared" si="25"/>
        <v>110.03999999999999</v>
      </c>
      <c r="AT70" t="str">
        <f t="shared" si="29"/>
        <v>ANO</v>
      </c>
      <c r="AU70">
        <f t="shared" si="26"/>
        <v>20.5</v>
      </c>
      <c r="AV70" t="s">
        <v>184</v>
      </c>
      <c r="AW70">
        <f t="shared" si="13"/>
        <v>55.019999999999996</v>
      </c>
      <c r="AX70">
        <f t="shared" si="14"/>
        <v>55.019999999999996</v>
      </c>
    </row>
    <row r="71" spans="3:50" ht="15.75" x14ac:dyDescent="0.25">
      <c r="C71" s="90" t="str">
        <f>Šachty!J67</f>
        <v>Š41A</v>
      </c>
      <c r="D71" s="47">
        <f>Šachty!K67</f>
        <v>0</v>
      </c>
      <c r="E71" s="47">
        <f>Šachty!M67</f>
        <v>1</v>
      </c>
      <c r="F71" s="34">
        <f>Šachty!N67</f>
        <v>1.4359999999999999</v>
      </c>
      <c r="G71" s="34">
        <f>Šachty!O67</f>
        <v>0.97599999999999998</v>
      </c>
      <c r="H71" s="34">
        <f>Šachty!P67</f>
        <v>1.35</v>
      </c>
      <c r="I71" s="34">
        <f>Šachty!R67</f>
        <v>0</v>
      </c>
      <c r="J71" s="34">
        <f t="shared" si="15"/>
        <v>1.8920736</v>
      </c>
      <c r="K71" s="34">
        <f>Šachty!S67-J71</f>
        <v>0</v>
      </c>
      <c r="L71" t="str">
        <f>Šachty!X67</f>
        <v>Pro zadláždění</v>
      </c>
      <c r="M71" t="str">
        <f>Šachty!Y67</f>
        <v>pro pl. šachtu</v>
      </c>
      <c r="N71">
        <f>Šachty!Z67</f>
        <v>1</v>
      </c>
      <c r="O71" t="str">
        <f>Šachty!AA67</f>
        <v>Nástupiště</v>
      </c>
      <c r="P71" s="34" t="str">
        <f>Šachty!AE67</f>
        <v>NE</v>
      </c>
      <c r="Q71" s="47" t="str">
        <f>Šachty!AI67</f>
        <v>NE</v>
      </c>
      <c r="R71" t="str">
        <f>Šachty!AL67</f>
        <v>ANO</v>
      </c>
      <c r="S71" t="s">
        <v>249</v>
      </c>
      <c r="T71">
        <f>IF(Šachty!AO67="ano",IF(S71="ano",1,0),0)</f>
        <v>0</v>
      </c>
      <c r="V71" s="34">
        <f t="shared" si="27"/>
        <v>3.1420735999999998</v>
      </c>
      <c r="W71" s="34">
        <f t="shared" si="31"/>
        <v>0</v>
      </c>
      <c r="X71" s="34">
        <f t="shared" si="16"/>
        <v>0</v>
      </c>
      <c r="Y71" s="34">
        <f t="shared" si="17"/>
        <v>1.25</v>
      </c>
      <c r="Z71" s="34">
        <f t="shared" si="18"/>
        <v>1.25</v>
      </c>
      <c r="AA71" s="34">
        <f t="shared" si="32"/>
        <v>7.2695359999999996</v>
      </c>
      <c r="AB71" s="34">
        <f t="shared" si="33"/>
        <v>0.1</v>
      </c>
      <c r="AC71" s="34">
        <f t="shared" si="19"/>
        <v>0.72695359999999998</v>
      </c>
      <c r="AD71" s="2"/>
      <c r="AE71" s="2"/>
      <c r="AF71">
        <f t="shared" si="34"/>
        <v>0</v>
      </c>
      <c r="AG71" s="34">
        <f t="shared" si="35"/>
        <v>0</v>
      </c>
      <c r="AH71" s="34">
        <f t="shared" si="21"/>
        <v>0</v>
      </c>
      <c r="AI71" s="34"/>
      <c r="AJ71" s="90" t="str">
        <f t="shared" si="30"/>
        <v>Š41A</v>
      </c>
      <c r="AM71" s="90" t="str">
        <f t="shared" si="10"/>
        <v>Š41A</v>
      </c>
      <c r="AN71" t="str">
        <f t="shared" si="22"/>
        <v>NE</v>
      </c>
      <c r="AO71" s="34">
        <f t="shared" si="23"/>
        <v>0</v>
      </c>
      <c r="AP71">
        <f t="shared" si="24"/>
        <v>0</v>
      </c>
      <c r="AR71" t="str">
        <f t="shared" si="28"/>
        <v>NE</v>
      </c>
      <c r="AS71">
        <f t="shared" si="25"/>
        <v>0</v>
      </c>
      <c r="AU71">
        <f t="shared" si="26"/>
        <v>0</v>
      </c>
      <c r="AW71">
        <f t="shared" si="13"/>
        <v>10.129072000000001</v>
      </c>
      <c r="AX71">
        <f t="shared" si="14"/>
        <v>0</v>
      </c>
    </row>
    <row r="72" spans="3:50" ht="15.75" x14ac:dyDescent="0.25">
      <c r="C72" s="90" t="str">
        <f>Šachty!J68</f>
        <v>Š42</v>
      </c>
      <c r="D72" s="47">
        <f>Šachty!K68</f>
        <v>1</v>
      </c>
      <c r="E72" s="47">
        <f>Šachty!M68</f>
        <v>0</v>
      </c>
      <c r="F72" s="34">
        <f>Šachty!N68</f>
        <v>1.8</v>
      </c>
      <c r="G72" s="34">
        <f>Šachty!O68</f>
        <v>1.7</v>
      </c>
      <c r="H72" s="34">
        <f>Šachty!P68</f>
        <v>2.8</v>
      </c>
      <c r="I72" s="34">
        <f>Šachty!R68</f>
        <v>0.35</v>
      </c>
      <c r="J72" s="34">
        <f t="shared" si="15"/>
        <v>8.5679999999999996</v>
      </c>
      <c r="K72" s="34">
        <f>Šachty!S68-J72</f>
        <v>0</v>
      </c>
      <c r="L72" t="str">
        <f>Šachty!X68</f>
        <v>Pro zadláždění</v>
      </c>
      <c r="M72" t="str">
        <f>Šachty!Y68</f>
        <v>ŽB. šachta</v>
      </c>
      <c r="N72">
        <f>Šachty!Z68</f>
        <v>1</v>
      </c>
      <c r="O72" t="str">
        <f>Šachty!AA68</f>
        <v>Nástupiště</v>
      </c>
      <c r="P72" s="34" t="str">
        <f>Šachty!AE68</f>
        <v>ano</v>
      </c>
      <c r="Q72" s="47" t="str">
        <f>Šachty!AI68</f>
        <v>ano</v>
      </c>
      <c r="R72" t="str">
        <f>Šachty!AL68</f>
        <v>ANO</v>
      </c>
      <c r="S72" t="s">
        <v>249</v>
      </c>
      <c r="T72">
        <f>IF(Šachty!AO68="ano",IF(S72="ano",1,0),0)</f>
        <v>0</v>
      </c>
      <c r="V72" s="34">
        <f t="shared" si="27"/>
        <v>0</v>
      </c>
      <c r="W72" s="34">
        <f t="shared" si="31"/>
        <v>0.17499999999999993</v>
      </c>
      <c r="X72" s="34">
        <f t="shared" si="16"/>
        <v>0</v>
      </c>
      <c r="Y72" s="34">
        <f t="shared" si="17"/>
        <v>0</v>
      </c>
      <c r="Z72" s="34">
        <f t="shared" si="18"/>
        <v>0</v>
      </c>
      <c r="AA72" s="34">
        <f t="shared" si="32"/>
        <v>14.06</v>
      </c>
      <c r="AB72" s="34">
        <f t="shared" si="33"/>
        <v>0.15</v>
      </c>
      <c r="AC72" s="34">
        <f t="shared" si="19"/>
        <v>2.109</v>
      </c>
      <c r="AD72" s="2"/>
      <c r="AE72" s="2"/>
      <c r="AF72">
        <f t="shared" si="34"/>
        <v>1</v>
      </c>
      <c r="AG72" s="34">
        <f t="shared" si="35"/>
        <v>13.319999999999999</v>
      </c>
      <c r="AH72" s="34">
        <f t="shared" si="21"/>
        <v>0</v>
      </c>
      <c r="AI72" s="34"/>
      <c r="AJ72" s="90" t="str">
        <f t="shared" si="30"/>
        <v>Š42</v>
      </c>
      <c r="AM72" s="90" t="str">
        <f t="shared" si="10"/>
        <v>Š42</v>
      </c>
      <c r="AN72" t="str">
        <f t="shared" si="22"/>
        <v>ano</v>
      </c>
      <c r="AO72" s="34">
        <f t="shared" si="23"/>
        <v>1</v>
      </c>
      <c r="AP72">
        <f t="shared" si="24"/>
        <v>26.86</v>
      </c>
      <c r="AR72" t="str">
        <f t="shared" si="28"/>
        <v>ano</v>
      </c>
      <c r="AS72">
        <f t="shared" si="25"/>
        <v>53.72</v>
      </c>
      <c r="AT72" t="str">
        <f t="shared" si="29"/>
        <v>ANO</v>
      </c>
      <c r="AU72">
        <f t="shared" si="26"/>
        <v>14.06</v>
      </c>
      <c r="AV72" t="s">
        <v>184</v>
      </c>
      <c r="AW72">
        <f t="shared" si="13"/>
        <v>26.86</v>
      </c>
      <c r="AX72">
        <f t="shared" si="14"/>
        <v>26.86</v>
      </c>
    </row>
    <row r="73" spans="3:50" ht="15.75" x14ac:dyDescent="0.25">
      <c r="C73" s="90" t="str">
        <f>Šachty!J69</f>
        <v>Š43</v>
      </c>
      <c r="D73" s="47">
        <f>Šachty!K69</f>
        <v>1</v>
      </c>
      <c r="E73" s="47">
        <f>Šachty!M69</f>
        <v>0</v>
      </c>
      <c r="F73" s="34">
        <f>Šachty!N69</f>
        <v>1.8</v>
      </c>
      <c r="G73" s="34">
        <f>Šachty!O69</f>
        <v>1.7</v>
      </c>
      <c r="H73" s="34">
        <f>Šachty!P69</f>
        <v>2.8</v>
      </c>
      <c r="I73" s="34">
        <f>Šachty!R69</f>
        <v>0.35</v>
      </c>
      <c r="J73" s="34">
        <f t="shared" si="15"/>
        <v>8.5679999999999996</v>
      </c>
      <c r="K73" s="34">
        <f>Šachty!S69-J73</f>
        <v>0</v>
      </c>
      <c r="L73" t="str">
        <f>Šachty!X69</f>
        <v>Pro zadláždění</v>
      </c>
      <c r="M73" t="str">
        <f>Šachty!Y69</f>
        <v>ŽB. šachta</v>
      </c>
      <c r="N73">
        <f>Šachty!Z69</f>
        <v>1</v>
      </c>
      <c r="O73" t="str">
        <f>Šachty!AA69</f>
        <v>Nástupiště</v>
      </c>
      <c r="P73" s="34" t="str">
        <f>Šachty!AE69</f>
        <v>ano</v>
      </c>
      <c r="Q73" s="47" t="str">
        <f>Šachty!AI69</f>
        <v>ano</v>
      </c>
      <c r="R73" t="str">
        <f>Šachty!AL69</f>
        <v>ANO</v>
      </c>
      <c r="S73" t="s">
        <v>249</v>
      </c>
      <c r="T73">
        <f>IF(Šachty!AO69="ano",IF(S73="ano",1,0),0)</f>
        <v>0</v>
      </c>
      <c r="V73" s="34">
        <f t="shared" si="27"/>
        <v>0</v>
      </c>
      <c r="W73" s="34">
        <f t="shared" si="31"/>
        <v>0.17499999999999993</v>
      </c>
      <c r="X73" s="34">
        <f t="shared" si="16"/>
        <v>0</v>
      </c>
      <c r="Y73" s="34">
        <f t="shared" si="17"/>
        <v>0</v>
      </c>
      <c r="Z73" s="34">
        <f t="shared" si="18"/>
        <v>0</v>
      </c>
      <c r="AA73" s="34">
        <f t="shared" si="32"/>
        <v>14.06</v>
      </c>
      <c r="AB73" s="34">
        <f t="shared" si="33"/>
        <v>0.15</v>
      </c>
      <c r="AC73" s="34">
        <f t="shared" si="19"/>
        <v>2.109</v>
      </c>
      <c r="AD73" s="2"/>
      <c r="AE73" s="2"/>
      <c r="AF73">
        <f t="shared" si="34"/>
        <v>1</v>
      </c>
      <c r="AG73" s="34">
        <f t="shared" si="35"/>
        <v>13.319999999999999</v>
      </c>
      <c r="AH73" s="34">
        <f t="shared" si="21"/>
        <v>0</v>
      </c>
      <c r="AI73" s="34"/>
      <c r="AJ73" s="90" t="str">
        <f t="shared" si="30"/>
        <v>Š43</v>
      </c>
      <c r="AM73" s="90" t="str">
        <f t="shared" si="10"/>
        <v>Š43</v>
      </c>
      <c r="AN73" t="str">
        <f t="shared" si="22"/>
        <v>ano</v>
      </c>
      <c r="AO73" s="34">
        <f t="shared" si="23"/>
        <v>1</v>
      </c>
      <c r="AP73">
        <f t="shared" si="24"/>
        <v>26.86</v>
      </c>
      <c r="AR73" t="str">
        <f t="shared" si="28"/>
        <v>ano</v>
      </c>
      <c r="AS73">
        <f t="shared" si="25"/>
        <v>53.72</v>
      </c>
      <c r="AT73" t="str">
        <f t="shared" si="29"/>
        <v>ANO</v>
      </c>
      <c r="AU73">
        <f t="shared" si="26"/>
        <v>14.06</v>
      </c>
      <c r="AV73" t="s">
        <v>184</v>
      </c>
      <c r="AW73">
        <f t="shared" si="13"/>
        <v>26.86</v>
      </c>
      <c r="AX73">
        <f t="shared" si="14"/>
        <v>26.86</v>
      </c>
    </row>
    <row r="74" spans="3:50" ht="15.75" x14ac:dyDescent="0.25">
      <c r="C74" s="90" t="str">
        <f>Šachty!J70</f>
        <v>Š44</v>
      </c>
      <c r="D74" s="47">
        <f>Šachty!K70</f>
        <v>1</v>
      </c>
      <c r="E74" s="47">
        <f>Šachty!M70</f>
        <v>0</v>
      </c>
      <c r="F74" s="34">
        <f>Šachty!N70</f>
        <v>1.8</v>
      </c>
      <c r="G74" s="34">
        <f>Šachty!O70</f>
        <v>1.7</v>
      </c>
      <c r="H74" s="34">
        <f>Šachty!P70</f>
        <v>2.8</v>
      </c>
      <c r="I74" s="34">
        <f>Šachty!R70</f>
        <v>0.35</v>
      </c>
      <c r="J74" s="34">
        <f t="shared" si="15"/>
        <v>8.5679999999999996</v>
      </c>
      <c r="K74" s="34">
        <f>Šachty!S70-J74</f>
        <v>0</v>
      </c>
      <c r="L74" t="str">
        <f>Šachty!X70</f>
        <v>Pro zadláždění</v>
      </c>
      <c r="M74" t="str">
        <f>Šachty!Y70</f>
        <v>ŽB. šachta</v>
      </c>
      <c r="N74">
        <f>Šachty!Z70</f>
        <v>1</v>
      </c>
      <c r="O74" t="str">
        <f>Šachty!AA70</f>
        <v>Nástupiště</v>
      </c>
      <c r="P74" s="34" t="str">
        <f>Šachty!AE70</f>
        <v>ano</v>
      </c>
      <c r="Q74" s="47" t="str">
        <f>Šachty!AI70</f>
        <v>ano</v>
      </c>
      <c r="R74" t="str">
        <f>Šachty!AL70</f>
        <v>ANO</v>
      </c>
      <c r="S74" t="s">
        <v>249</v>
      </c>
      <c r="T74">
        <f>IF(Šachty!AO70="ano",IF(S74="ano",1,0),0)</f>
        <v>0</v>
      </c>
      <c r="V74" s="34">
        <f t="shared" si="27"/>
        <v>0</v>
      </c>
      <c r="W74" s="34">
        <f t="shared" si="31"/>
        <v>0.17499999999999993</v>
      </c>
      <c r="X74" s="34">
        <f t="shared" si="16"/>
        <v>0</v>
      </c>
      <c r="Y74" s="34">
        <f t="shared" si="17"/>
        <v>0</v>
      </c>
      <c r="Z74" s="34">
        <f t="shared" si="18"/>
        <v>0</v>
      </c>
      <c r="AA74" s="34">
        <f t="shared" si="32"/>
        <v>14.06</v>
      </c>
      <c r="AB74" s="34">
        <f t="shared" si="33"/>
        <v>0.15</v>
      </c>
      <c r="AC74" s="34">
        <f t="shared" si="19"/>
        <v>2.109</v>
      </c>
      <c r="AD74" s="2"/>
      <c r="AE74" s="2"/>
      <c r="AF74">
        <f t="shared" si="34"/>
        <v>1</v>
      </c>
      <c r="AG74" s="34">
        <f t="shared" si="35"/>
        <v>13.319999999999999</v>
      </c>
      <c r="AH74" s="34">
        <f t="shared" si="21"/>
        <v>0</v>
      </c>
      <c r="AI74" s="34"/>
      <c r="AJ74" s="90" t="str">
        <f t="shared" si="30"/>
        <v>Š44</v>
      </c>
      <c r="AM74" s="90" t="str">
        <f t="shared" si="10"/>
        <v>Š44</v>
      </c>
      <c r="AN74" t="str">
        <f t="shared" si="22"/>
        <v>ano</v>
      </c>
      <c r="AO74" s="34">
        <f t="shared" si="23"/>
        <v>1</v>
      </c>
      <c r="AP74">
        <f t="shared" si="24"/>
        <v>26.86</v>
      </c>
      <c r="AR74" t="str">
        <f t="shared" si="28"/>
        <v>ano</v>
      </c>
      <c r="AS74">
        <f t="shared" si="25"/>
        <v>53.72</v>
      </c>
      <c r="AT74" t="str">
        <f t="shared" si="29"/>
        <v>ANO</v>
      </c>
      <c r="AU74">
        <f t="shared" si="26"/>
        <v>14.06</v>
      </c>
      <c r="AV74" t="s">
        <v>184</v>
      </c>
      <c r="AW74">
        <f t="shared" si="13"/>
        <v>26.86</v>
      </c>
      <c r="AX74">
        <f t="shared" si="14"/>
        <v>26.86</v>
      </c>
    </row>
    <row r="75" spans="3:50" ht="15.75" x14ac:dyDescent="0.25">
      <c r="C75" s="90" t="str">
        <f>Šachty!J71</f>
        <v>Š45</v>
      </c>
      <c r="D75" s="47">
        <f>Šachty!K71</f>
        <v>1</v>
      </c>
      <c r="E75" s="47">
        <f>Šachty!M71</f>
        <v>0</v>
      </c>
      <c r="F75" s="34">
        <f>Šachty!N71</f>
        <v>1.6</v>
      </c>
      <c r="G75" s="34">
        <f>Šachty!O71</f>
        <v>1.6</v>
      </c>
      <c r="H75" s="34">
        <f>Šachty!P71</f>
        <v>2.8</v>
      </c>
      <c r="I75" s="34">
        <f>Šachty!R71</f>
        <v>0.35</v>
      </c>
      <c r="J75" s="34">
        <f t="shared" si="15"/>
        <v>7.168000000000001</v>
      </c>
      <c r="K75" s="34">
        <f>Šachty!S71-J75</f>
        <v>0</v>
      </c>
      <c r="L75" t="str">
        <f>Šachty!X71</f>
        <v>Pro zadláždění</v>
      </c>
      <c r="M75" t="str">
        <f>Šachty!Y71</f>
        <v>ŽB. šachta</v>
      </c>
      <c r="N75">
        <f>Šachty!Z71</f>
        <v>1</v>
      </c>
      <c r="O75" t="str">
        <f>Šachty!AA71</f>
        <v>Nástupiště</v>
      </c>
      <c r="P75" s="34" t="str">
        <f>Šachty!AE71</f>
        <v>ano</v>
      </c>
      <c r="Q75" s="47" t="str">
        <f>Šachty!AI71</f>
        <v>ano</v>
      </c>
      <c r="R75" t="str">
        <f>Šachty!AL71</f>
        <v>ANO</v>
      </c>
      <c r="S75" t="s">
        <v>249</v>
      </c>
      <c r="T75">
        <f>IF(Šachty!AO71="ano",IF(S75="ano",1,0),0)</f>
        <v>0</v>
      </c>
      <c r="V75" s="34">
        <f t="shared" si="27"/>
        <v>0</v>
      </c>
      <c r="W75" s="34">
        <f t="shared" si="31"/>
        <v>0.17499999999999993</v>
      </c>
      <c r="X75" s="34">
        <f t="shared" si="16"/>
        <v>0</v>
      </c>
      <c r="Y75" s="34">
        <f t="shared" si="17"/>
        <v>0</v>
      </c>
      <c r="Z75" s="34">
        <f t="shared" si="18"/>
        <v>0</v>
      </c>
      <c r="AA75" s="34">
        <f t="shared" si="32"/>
        <v>12.96</v>
      </c>
      <c r="AB75" s="34">
        <f t="shared" si="33"/>
        <v>0.15</v>
      </c>
      <c r="AC75" s="34">
        <f t="shared" si="19"/>
        <v>1.944</v>
      </c>
      <c r="AD75" s="2"/>
      <c r="AE75" s="2"/>
      <c r="AF75">
        <f t="shared" si="34"/>
        <v>1</v>
      </c>
      <c r="AG75" s="34">
        <f t="shared" si="35"/>
        <v>12.25</v>
      </c>
      <c r="AH75" s="34">
        <f t="shared" si="21"/>
        <v>0</v>
      </c>
      <c r="AI75" s="34"/>
      <c r="AJ75" s="90" t="str">
        <f t="shared" si="30"/>
        <v>Š45</v>
      </c>
      <c r="AM75" s="90" t="str">
        <f t="shared" si="10"/>
        <v>Š45</v>
      </c>
      <c r="AN75" t="str">
        <f t="shared" si="22"/>
        <v>ano</v>
      </c>
      <c r="AO75" s="34">
        <f t="shared" si="23"/>
        <v>1</v>
      </c>
      <c r="AP75">
        <f t="shared" si="24"/>
        <v>24.09</v>
      </c>
      <c r="AR75" t="str">
        <f t="shared" si="28"/>
        <v>ano</v>
      </c>
      <c r="AS75">
        <f t="shared" si="25"/>
        <v>48.18</v>
      </c>
      <c r="AT75" t="str">
        <f t="shared" si="29"/>
        <v>ANO</v>
      </c>
      <c r="AU75">
        <f t="shared" si="26"/>
        <v>12.96</v>
      </c>
      <c r="AV75" t="s">
        <v>184</v>
      </c>
      <c r="AW75">
        <f t="shared" si="13"/>
        <v>24.09</v>
      </c>
      <c r="AX75">
        <f t="shared" si="14"/>
        <v>24.09</v>
      </c>
    </row>
    <row r="76" spans="3:50" ht="15.75" x14ac:dyDescent="0.25">
      <c r="C76" s="90">
        <f>Šachty!J72</f>
        <v>0</v>
      </c>
      <c r="D76" s="47">
        <f>Šachty!K72</f>
        <v>0</v>
      </c>
      <c r="E76" s="47">
        <f>Šachty!M72</f>
        <v>0</v>
      </c>
      <c r="F76" s="34">
        <f>Šachty!N72</f>
        <v>0</v>
      </c>
      <c r="G76" s="34">
        <f>Šachty!O72</f>
        <v>0</v>
      </c>
      <c r="H76" s="34">
        <f>Šachty!P72</f>
        <v>0</v>
      </c>
      <c r="I76" s="34">
        <f>Šachty!R72</f>
        <v>0</v>
      </c>
      <c r="J76" s="34">
        <f t="shared" si="15"/>
        <v>0</v>
      </c>
      <c r="K76" s="34">
        <f>Šachty!S72-J76</f>
        <v>0</v>
      </c>
      <c r="L76">
        <f>Šachty!X72</f>
        <v>0</v>
      </c>
      <c r="M76">
        <f>Šachty!Y72</f>
        <v>0</v>
      </c>
      <c r="N76">
        <f>Šachty!Z72</f>
        <v>0</v>
      </c>
      <c r="O76">
        <f>Šachty!AA72</f>
        <v>0</v>
      </c>
      <c r="P76" s="34">
        <f>Šachty!AE72</f>
        <v>0</v>
      </c>
      <c r="Q76" s="47">
        <f>Šachty!AI72</f>
        <v>0</v>
      </c>
      <c r="R76">
        <f>Šachty!AL72</f>
        <v>0</v>
      </c>
      <c r="S76" t="s">
        <v>249</v>
      </c>
      <c r="T76">
        <f>IF(Šachty!AO72="ano",IF(S76="ano",1,0),0)</f>
        <v>0</v>
      </c>
      <c r="V76" s="34">
        <f t="shared" si="27"/>
        <v>0</v>
      </c>
      <c r="W76" s="34">
        <f t="shared" si="31"/>
        <v>0</v>
      </c>
      <c r="X76" s="34">
        <f t="shared" si="16"/>
        <v>0</v>
      </c>
      <c r="Y76" s="34">
        <f t="shared" si="17"/>
        <v>0</v>
      </c>
      <c r="Z76" s="34">
        <f t="shared" si="18"/>
        <v>0</v>
      </c>
      <c r="AA76" s="34">
        <f t="shared" si="32"/>
        <v>0</v>
      </c>
      <c r="AB76" s="34">
        <f t="shared" si="33"/>
        <v>0</v>
      </c>
      <c r="AC76" s="34">
        <f t="shared" si="19"/>
        <v>0</v>
      </c>
      <c r="AD76" s="2"/>
      <c r="AE76" s="2"/>
      <c r="AF76">
        <f t="shared" si="34"/>
        <v>0</v>
      </c>
      <c r="AG76" s="34">
        <f t="shared" si="35"/>
        <v>0</v>
      </c>
      <c r="AH76" s="34">
        <f t="shared" si="21"/>
        <v>0</v>
      </c>
      <c r="AI76" s="34"/>
      <c r="AJ76" s="90">
        <f t="shared" si="30"/>
        <v>0</v>
      </c>
      <c r="AM76" s="90">
        <f t="shared" si="10"/>
        <v>0</v>
      </c>
      <c r="AN76">
        <f t="shared" si="22"/>
        <v>0</v>
      </c>
      <c r="AR76">
        <f t="shared" si="28"/>
        <v>0</v>
      </c>
      <c r="AT76">
        <f t="shared" si="29"/>
        <v>0</v>
      </c>
    </row>
    <row r="77" spans="3:50" ht="15.75" x14ac:dyDescent="0.25">
      <c r="C77" s="90">
        <f>Šachty!J73</f>
        <v>0</v>
      </c>
      <c r="D77" s="47">
        <f>Šachty!K73</f>
        <v>0</v>
      </c>
      <c r="E77" s="47">
        <f>Šachty!M73</f>
        <v>0</v>
      </c>
      <c r="F77" s="34">
        <f>Šachty!N73</f>
        <v>0</v>
      </c>
      <c r="G77" s="34">
        <f>Šachty!O73</f>
        <v>0</v>
      </c>
      <c r="H77" s="34">
        <f>Šachty!P73</f>
        <v>0</v>
      </c>
      <c r="I77" s="34">
        <f>Šachty!R73</f>
        <v>0</v>
      </c>
      <c r="J77" s="34">
        <f t="shared" si="15"/>
        <v>0</v>
      </c>
      <c r="K77" s="34">
        <f>Šachty!S73-J77</f>
        <v>0</v>
      </c>
      <c r="L77">
        <f>Šachty!X73</f>
        <v>0</v>
      </c>
      <c r="M77">
        <f>Šachty!Y73</f>
        <v>0</v>
      </c>
      <c r="N77">
        <f>Šachty!Z73</f>
        <v>0</v>
      </c>
      <c r="O77">
        <f>Šachty!AA73</f>
        <v>0</v>
      </c>
      <c r="P77" s="34">
        <f>Šachty!AE73</f>
        <v>0</v>
      </c>
      <c r="Q77" s="47">
        <f>Šachty!AI73</f>
        <v>0</v>
      </c>
      <c r="R77">
        <f>Šachty!AL73</f>
        <v>0</v>
      </c>
      <c r="S77" t="s">
        <v>249</v>
      </c>
      <c r="T77">
        <f>IF(Šachty!AO73="ano",IF(S77="ano",1,0),0)</f>
        <v>0</v>
      </c>
      <c r="V77" s="34">
        <f t="shared" si="27"/>
        <v>0</v>
      </c>
      <c r="W77" s="34">
        <f t="shared" si="31"/>
        <v>0</v>
      </c>
      <c r="X77" s="34">
        <f t="shared" si="16"/>
        <v>0</v>
      </c>
      <c r="Y77" s="34">
        <f t="shared" si="17"/>
        <v>0</v>
      </c>
      <c r="Z77" s="34">
        <f t="shared" si="18"/>
        <v>0</v>
      </c>
      <c r="AA77" s="34">
        <f t="shared" si="32"/>
        <v>0</v>
      </c>
      <c r="AB77" s="34">
        <f t="shared" si="33"/>
        <v>0</v>
      </c>
      <c r="AC77" s="34">
        <f t="shared" si="19"/>
        <v>0</v>
      </c>
      <c r="AD77" s="2"/>
      <c r="AE77" s="2"/>
      <c r="AF77">
        <f t="shared" si="34"/>
        <v>0</v>
      </c>
      <c r="AG77" s="34">
        <f t="shared" si="35"/>
        <v>0</v>
      </c>
      <c r="AH77" s="34">
        <f t="shared" si="21"/>
        <v>0</v>
      </c>
      <c r="AI77" s="34"/>
      <c r="AJ77" s="90">
        <f t="shared" si="30"/>
        <v>0</v>
      </c>
      <c r="AM77" s="90">
        <f t="shared" si="10"/>
        <v>0</v>
      </c>
      <c r="AN77">
        <f t="shared" si="22"/>
        <v>0</v>
      </c>
      <c r="AR77">
        <f t="shared" si="28"/>
        <v>0</v>
      </c>
      <c r="AT77">
        <f t="shared" si="29"/>
        <v>0</v>
      </c>
    </row>
    <row r="78" spans="3:50" ht="15.75" x14ac:dyDescent="0.25">
      <c r="C78" s="90">
        <f>Šachty!J74</f>
        <v>0</v>
      </c>
      <c r="D78" s="47">
        <f>Šachty!K74</f>
        <v>0</v>
      </c>
      <c r="E78" s="47">
        <f>Šachty!M74</f>
        <v>0</v>
      </c>
      <c r="F78" s="34">
        <f>Šachty!N74</f>
        <v>0</v>
      </c>
      <c r="G78" s="34">
        <f>Šachty!O74</f>
        <v>0</v>
      </c>
      <c r="H78" s="34">
        <f>Šachty!P74</f>
        <v>0</v>
      </c>
      <c r="I78" s="34">
        <f>Šachty!R74</f>
        <v>0</v>
      </c>
      <c r="J78" s="34">
        <f t="shared" si="15"/>
        <v>0</v>
      </c>
      <c r="K78" s="34">
        <f>Šachty!S74-J78</f>
        <v>0</v>
      </c>
      <c r="L78">
        <f>Šachty!X74</f>
        <v>0</v>
      </c>
      <c r="M78">
        <f>Šachty!Y74</f>
        <v>0</v>
      </c>
      <c r="N78">
        <f>Šachty!Z74</f>
        <v>0</v>
      </c>
      <c r="O78">
        <f>Šachty!AA74</f>
        <v>0</v>
      </c>
      <c r="P78" s="34">
        <f>Šachty!AE74</f>
        <v>0</v>
      </c>
      <c r="Q78" s="47">
        <f>Šachty!AI74</f>
        <v>0</v>
      </c>
      <c r="R78">
        <f>Šachty!AL74</f>
        <v>0</v>
      </c>
      <c r="S78" t="s">
        <v>249</v>
      </c>
      <c r="T78">
        <f>IF(Šachty!AO74="ano",IF(S78="ano",1,0),0)</f>
        <v>0</v>
      </c>
      <c r="V78" s="34">
        <f t="shared" si="27"/>
        <v>0</v>
      </c>
      <c r="W78" s="34">
        <f t="shared" si="31"/>
        <v>0</v>
      </c>
      <c r="X78" s="34">
        <f t="shared" si="16"/>
        <v>0</v>
      </c>
      <c r="Y78" s="34">
        <f t="shared" si="17"/>
        <v>0</v>
      </c>
      <c r="Z78" s="34">
        <f t="shared" si="18"/>
        <v>0</v>
      </c>
      <c r="AA78" s="34">
        <f t="shared" si="32"/>
        <v>0</v>
      </c>
      <c r="AB78" s="34">
        <f t="shared" si="33"/>
        <v>0</v>
      </c>
      <c r="AC78" s="34">
        <f t="shared" si="19"/>
        <v>0</v>
      </c>
      <c r="AD78" s="2"/>
      <c r="AE78" s="2"/>
      <c r="AF78">
        <f t="shared" si="34"/>
        <v>0</v>
      </c>
      <c r="AG78" s="34">
        <f t="shared" si="35"/>
        <v>0</v>
      </c>
      <c r="AH78" s="34">
        <f t="shared" si="21"/>
        <v>0</v>
      </c>
      <c r="AI78" s="34"/>
      <c r="AJ78" s="90">
        <f t="shared" si="30"/>
        <v>0</v>
      </c>
      <c r="AM78" s="90">
        <f t="shared" si="10"/>
        <v>0</v>
      </c>
    </row>
    <row r="79" spans="3:50" ht="15.75" x14ac:dyDescent="0.25">
      <c r="C79" s="90">
        <f>Šachty!J75</f>
        <v>0</v>
      </c>
      <c r="D79" s="47">
        <f>Šachty!K75</f>
        <v>0</v>
      </c>
      <c r="E79" s="47">
        <f>Šachty!M75</f>
        <v>0</v>
      </c>
      <c r="F79" s="34">
        <f>Šachty!N75</f>
        <v>0</v>
      </c>
      <c r="G79" s="34">
        <f>Šachty!O75</f>
        <v>0</v>
      </c>
      <c r="H79" s="34">
        <f>Šachty!P75</f>
        <v>0</v>
      </c>
      <c r="I79" s="34">
        <f>Šachty!R75</f>
        <v>0</v>
      </c>
      <c r="J79" s="34">
        <f t="shared" si="15"/>
        <v>0</v>
      </c>
      <c r="K79" s="34">
        <f>Šachty!S75-J79</f>
        <v>0</v>
      </c>
      <c r="L79">
        <f>Šachty!X75</f>
        <v>0</v>
      </c>
      <c r="M79">
        <f>Šachty!Y75</f>
        <v>0</v>
      </c>
      <c r="N79">
        <f>Šachty!Z75</f>
        <v>0</v>
      </c>
      <c r="O79">
        <f>Šachty!AA75</f>
        <v>0</v>
      </c>
      <c r="P79" s="34">
        <f>Šachty!AE75</f>
        <v>0</v>
      </c>
      <c r="Q79" s="47">
        <f>Šachty!AI75</f>
        <v>0</v>
      </c>
      <c r="R79">
        <f>Šachty!AL75</f>
        <v>0</v>
      </c>
      <c r="S79" t="s">
        <v>249</v>
      </c>
      <c r="T79">
        <f>IF(Šachty!AO75="ano",IF(S79="ano",1,0),0)</f>
        <v>0</v>
      </c>
      <c r="V79" s="34">
        <f t="shared" si="27"/>
        <v>0</v>
      </c>
      <c r="W79" s="34">
        <f t="shared" si="31"/>
        <v>0</v>
      </c>
      <c r="X79" s="34">
        <f t="shared" si="16"/>
        <v>0</v>
      </c>
      <c r="Y79" s="34">
        <f t="shared" si="17"/>
        <v>0</v>
      </c>
      <c r="Z79" s="34">
        <f t="shared" si="18"/>
        <v>0</v>
      </c>
      <c r="AA79" s="34">
        <f t="shared" si="32"/>
        <v>0</v>
      </c>
      <c r="AB79" s="34">
        <f t="shared" si="33"/>
        <v>0</v>
      </c>
      <c r="AC79" s="34">
        <f t="shared" si="19"/>
        <v>0</v>
      </c>
      <c r="AD79" s="2"/>
      <c r="AE79" s="2"/>
      <c r="AF79">
        <f t="shared" si="34"/>
        <v>0</v>
      </c>
      <c r="AG79" s="34">
        <f t="shared" si="35"/>
        <v>0</v>
      </c>
      <c r="AH79" s="34">
        <f t="shared" si="21"/>
        <v>0</v>
      </c>
      <c r="AI79" s="34"/>
      <c r="AJ79" s="90">
        <f t="shared" si="30"/>
        <v>0</v>
      </c>
      <c r="AM79" s="90">
        <f t="shared" si="10"/>
        <v>0</v>
      </c>
    </row>
    <row r="80" spans="3:50" ht="15.75" x14ac:dyDescent="0.25">
      <c r="C80" s="90">
        <f>Šachty!J76</f>
        <v>0</v>
      </c>
      <c r="D80" s="47">
        <f>Šachty!K76</f>
        <v>0</v>
      </c>
      <c r="E80" s="47">
        <f>Šachty!M76</f>
        <v>0</v>
      </c>
      <c r="F80" s="34">
        <f>Šachty!N76</f>
        <v>0</v>
      </c>
      <c r="G80" s="34">
        <f>Šachty!O76</f>
        <v>0</v>
      </c>
      <c r="H80" s="34">
        <f>Šachty!P76</f>
        <v>0</v>
      </c>
      <c r="I80" s="34">
        <f>Šachty!R76</f>
        <v>0</v>
      </c>
      <c r="J80" s="34">
        <f t="shared" si="15"/>
        <v>0</v>
      </c>
      <c r="K80" s="34">
        <f>Šachty!S76-J80</f>
        <v>0</v>
      </c>
      <c r="L80">
        <f>Šachty!X76</f>
        <v>0</v>
      </c>
      <c r="M80">
        <f>Šachty!Y76</f>
        <v>0</v>
      </c>
      <c r="N80">
        <f>Šachty!Z76</f>
        <v>0</v>
      </c>
      <c r="O80">
        <f>Šachty!AA76</f>
        <v>0</v>
      </c>
      <c r="P80" s="34">
        <f>Šachty!AE76</f>
        <v>0</v>
      </c>
      <c r="Q80" s="47">
        <f>Šachty!AI76</f>
        <v>0</v>
      </c>
      <c r="R80">
        <f>Šachty!AL76</f>
        <v>0</v>
      </c>
      <c r="S80" t="s">
        <v>249</v>
      </c>
      <c r="T80">
        <f>IF(Šachty!AO76="ano",IF(S80="ano",1,0),0)</f>
        <v>0</v>
      </c>
      <c r="V80" s="34">
        <f t="shared" si="27"/>
        <v>0</v>
      </c>
      <c r="W80" s="34">
        <f t="shared" si="31"/>
        <v>0</v>
      </c>
      <c r="X80" s="34">
        <f t="shared" si="16"/>
        <v>0</v>
      </c>
      <c r="Y80" s="34">
        <f t="shared" si="17"/>
        <v>0</v>
      </c>
      <c r="Z80" s="34">
        <f t="shared" si="18"/>
        <v>0</v>
      </c>
      <c r="AA80" s="34">
        <f t="shared" si="32"/>
        <v>0</v>
      </c>
      <c r="AB80" s="34">
        <f t="shared" si="33"/>
        <v>0</v>
      </c>
      <c r="AC80" s="34">
        <f t="shared" si="19"/>
        <v>0</v>
      </c>
      <c r="AD80" s="2"/>
      <c r="AE80" s="2"/>
      <c r="AF80">
        <f t="shared" si="34"/>
        <v>0</v>
      </c>
      <c r="AG80" s="34">
        <f t="shared" si="35"/>
        <v>0</v>
      </c>
      <c r="AH80" s="34">
        <f t="shared" si="21"/>
        <v>0</v>
      </c>
      <c r="AI80" s="34"/>
      <c r="AJ80" s="90">
        <f t="shared" si="30"/>
        <v>0</v>
      </c>
      <c r="AM80" s="90">
        <f t="shared" si="10"/>
        <v>0</v>
      </c>
    </row>
    <row r="81" spans="3:39" ht="15.75" x14ac:dyDescent="0.25">
      <c r="C81" s="90">
        <f>Šachty!J77</f>
        <v>0</v>
      </c>
      <c r="D81" s="47">
        <f>Šachty!K77</f>
        <v>0</v>
      </c>
      <c r="E81" s="47">
        <f>Šachty!M77</f>
        <v>0</v>
      </c>
      <c r="F81" s="34">
        <f>Šachty!N77</f>
        <v>0</v>
      </c>
      <c r="G81" s="34">
        <f>Šachty!O77</f>
        <v>0</v>
      </c>
      <c r="H81" s="34">
        <f>Šachty!P77</f>
        <v>0</v>
      </c>
      <c r="I81" s="34">
        <f>Šachty!R77</f>
        <v>0</v>
      </c>
      <c r="J81" s="34">
        <f t="shared" si="15"/>
        <v>0</v>
      </c>
      <c r="K81" s="34">
        <f>Šachty!S77-J81</f>
        <v>0</v>
      </c>
      <c r="L81">
        <f>Šachty!X77</f>
        <v>0</v>
      </c>
      <c r="M81">
        <f>Šachty!Y77</f>
        <v>0</v>
      </c>
      <c r="N81">
        <f>Šachty!Z77</f>
        <v>0</v>
      </c>
      <c r="O81">
        <f>Šachty!AA77</f>
        <v>0</v>
      </c>
      <c r="P81" s="34">
        <f>Šachty!AE77</f>
        <v>0</v>
      </c>
      <c r="Q81" s="47">
        <f>Šachty!AI77</f>
        <v>0</v>
      </c>
      <c r="R81">
        <f>Šachty!AL77</f>
        <v>0</v>
      </c>
      <c r="S81" t="s">
        <v>249</v>
      </c>
      <c r="T81">
        <f>IF(Šachty!AO77="ano",IF(S81="ano",1,0),0)</f>
        <v>0</v>
      </c>
      <c r="V81" s="34">
        <f t="shared" si="27"/>
        <v>0</v>
      </c>
      <c r="W81" s="34">
        <f t="shared" si="31"/>
        <v>0</v>
      </c>
      <c r="X81" s="34">
        <f t="shared" si="16"/>
        <v>0</v>
      </c>
      <c r="Y81" s="34">
        <f t="shared" si="17"/>
        <v>0</v>
      </c>
      <c r="Z81" s="34">
        <f t="shared" si="18"/>
        <v>0</v>
      </c>
      <c r="AA81" s="34">
        <f t="shared" si="32"/>
        <v>0</v>
      </c>
      <c r="AB81" s="34">
        <f t="shared" si="33"/>
        <v>0</v>
      </c>
      <c r="AC81" s="34">
        <f t="shared" si="19"/>
        <v>0</v>
      </c>
      <c r="AD81" s="2"/>
      <c r="AE81" s="2"/>
      <c r="AF81">
        <f t="shared" si="34"/>
        <v>0</v>
      </c>
      <c r="AG81" s="34">
        <f t="shared" si="35"/>
        <v>0</v>
      </c>
      <c r="AH81" s="34">
        <f t="shared" si="21"/>
        <v>0</v>
      </c>
      <c r="AI81" s="34"/>
      <c r="AJ81" s="90">
        <f t="shared" si="30"/>
        <v>0</v>
      </c>
      <c r="AM81" s="90">
        <f t="shared" si="10"/>
        <v>0</v>
      </c>
    </row>
    <row r="82" spans="3:39" x14ac:dyDescent="0.25">
      <c r="AH82" s="34">
        <f t="shared" si="21"/>
        <v>0</v>
      </c>
    </row>
    <row r="83" spans="3:39" x14ac:dyDescent="0.25">
      <c r="AH83" s="34">
        <f t="shared" si="21"/>
        <v>0</v>
      </c>
    </row>
  </sheetData>
  <mergeCells count="8">
    <mergeCell ref="T7:AA7"/>
    <mergeCell ref="T8:AA8"/>
    <mergeCell ref="T9:AA9"/>
    <mergeCell ref="T2:AA2"/>
    <mergeCell ref="T3:AA3"/>
    <mergeCell ref="T4:AA4"/>
    <mergeCell ref="T5:AA5"/>
    <mergeCell ref="T6:AA6"/>
  </mergeCells>
  <pageMargins left="0.7" right="0.7" top="0.78740157499999996" bottom="0.78740157499999996" header="0.3" footer="0.3"/>
  <pageSetup paperSize="9" scale="2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79508-E946-4ABA-B195-0E7AC7743A63}">
  <dimension ref="A2:R56"/>
  <sheetViews>
    <sheetView workbookViewId="0">
      <selection activeCell="V12" sqref="V12"/>
    </sheetView>
  </sheetViews>
  <sheetFormatPr defaultRowHeight="15" x14ac:dyDescent="0.25"/>
  <sheetData>
    <row r="2" spans="1:18" ht="15.75" thickBot="1" x14ac:dyDescent="0.3"/>
    <row r="3" spans="1:18" ht="51.75" x14ac:dyDescent="0.25">
      <c r="A3" s="442" t="s">
        <v>128</v>
      </c>
      <c r="B3" s="443"/>
      <c r="C3" s="444"/>
      <c r="D3" s="445"/>
      <c r="E3" s="445"/>
      <c r="F3" s="446"/>
      <c r="G3" s="140" t="s">
        <v>6</v>
      </c>
      <c r="H3" s="127" t="s">
        <v>129</v>
      </c>
      <c r="I3" s="128" t="s">
        <v>10</v>
      </c>
      <c r="J3" s="141" t="s">
        <v>80</v>
      </c>
      <c r="K3" s="148" t="s">
        <v>7</v>
      </c>
      <c r="L3" s="128" t="s">
        <v>8</v>
      </c>
      <c r="M3" s="128" t="s">
        <v>9</v>
      </c>
      <c r="N3" s="127" t="s">
        <v>79</v>
      </c>
      <c r="O3" s="127" t="s">
        <v>27</v>
      </c>
      <c r="P3" s="141" t="s">
        <v>90</v>
      </c>
      <c r="R3" s="141" t="s">
        <v>303</v>
      </c>
    </row>
    <row r="4" spans="1:18" ht="60" x14ac:dyDescent="0.25">
      <c r="A4" s="193" t="s">
        <v>123</v>
      </c>
      <c r="B4" s="271" t="s">
        <v>192</v>
      </c>
      <c r="C4" s="193" t="s">
        <v>124</v>
      </c>
      <c r="D4" s="271" t="s">
        <v>193</v>
      </c>
      <c r="E4" s="193" t="s">
        <v>125</v>
      </c>
      <c r="F4" s="271" t="s">
        <v>194</v>
      </c>
      <c r="G4" s="142"/>
      <c r="H4" s="123">
        <f>SUM(H6:H85)</f>
        <v>33</v>
      </c>
      <c r="I4" s="72"/>
      <c r="J4" s="143">
        <f>SUM(J6:J85)</f>
        <v>15</v>
      </c>
      <c r="K4" s="149"/>
      <c r="L4" s="75"/>
      <c r="M4" s="75"/>
      <c r="N4" s="75"/>
      <c r="O4" s="75"/>
      <c r="P4" s="131"/>
    </row>
    <row r="5" spans="1:18" ht="16.5" thickBot="1" x14ac:dyDescent="0.3">
      <c r="A5" s="137">
        <f t="shared" ref="A5:F5" si="0">SUM(A6:A85)</f>
        <v>0</v>
      </c>
      <c r="B5" s="137">
        <f t="shared" si="0"/>
        <v>172</v>
      </c>
      <c r="C5" s="137">
        <f t="shared" si="0"/>
        <v>0</v>
      </c>
      <c r="D5" s="137">
        <f t="shared" si="0"/>
        <v>48</v>
      </c>
      <c r="E5" s="137">
        <f t="shared" si="0"/>
        <v>0</v>
      </c>
      <c r="F5" s="110">
        <f t="shared" si="0"/>
        <v>4</v>
      </c>
      <c r="G5" s="144"/>
      <c r="H5" s="132"/>
      <c r="I5" s="85"/>
      <c r="J5" s="145"/>
      <c r="K5" s="150"/>
      <c r="L5" s="133"/>
      <c r="M5" s="133"/>
      <c r="N5" s="133"/>
      <c r="O5" s="133"/>
      <c r="P5" s="134"/>
    </row>
    <row r="6" spans="1:18" ht="15.75" x14ac:dyDescent="0.25">
      <c r="A6" s="53"/>
      <c r="B6" s="179"/>
      <c r="C6" s="103"/>
      <c r="D6" s="136"/>
      <c r="E6" s="136"/>
      <c r="F6" s="52"/>
      <c r="G6" s="146"/>
      <c r="H6" s="124"/>
      <c r="I6" s="72"/>
      <c r="J6" s="27"/>
      <c r="K6" s="53"/>
      <c r="L6" s="103"/>
      <c r="M6" s="103"/>
      <c r="N6" s="103"/>
      <c r="O6" s="103"/>
      <c r="P6" s="151"/>
    </row>
    <row r="7" spans="1:18" ht="15.75" x14ac:dyDescent="0.25">
      <c r="A7" s="28"/>
      <c r="B7" s="118"/>
      <c r="C7" s="72"/>
      <c r="D7" s="113"/>
      <c r="E7" s="113"/>
      <c r="F7" s="27"/>
      <c r="G7" s="146"/>
      <c r="H7" s="124"/>
      <c r="I7" s="72"/>
      <c r="J7" s="27"/>
      <c r="K7" s="53"/>
      <c r="L7" s="103"/>
      <c r="M7" s="103"/>
      <c r="N7" s="72"/>
      <c r="O7" s="72"/>
      <c r="P7" s="151"/>
    </row>
    <row r="8" spans="1:18" ht="15.75" x14ac:dyDescent="0.25">
      <c r="A8" s="28"/>
      <c r="B8" s="118"/>
      <c r="C8" s="72"/>
      <c r="D8" s="113"/>
      <c r="E8" s="113"/>
      <c r="F8" s="27"/>
      <c r="G8" s="146"/>
      <c r="H8" s="124"/>
      <c r="I8" s="72"/>
      <c r="J8" s="27"/>
      <c r="K8" s="53"/>
      <c r="L8" s="103"/>
      <c r="M8" s="103"/>
      <c r="N8" s="72"/>
      <c r="O8" s="72"/>
      <c r="P8" s="151"/>
    </row>
    <row r="9" spans="1:18" ht="15.75" x14ac:dyDescent="0.25">
      <c r="A9" s="28"/>
      <c r="B9" s="118">
        <v>10</v>
      </c>
      <c r="C9" s="72"/>
      <c r="D9" s="113">
        <v>6</v>
      </c>
      <c r="E9" s="113"/>
      <c r="F9" s="27"/>
      <c r="G9" s="296" t="s">
        <v>135</v>
      </c>
      <c r="H9" s="297">
        <v>1</v>
      </c>
      <c r="I9" s="270" t="s">
        <v>195</v>
      </c>
      <c r="J9" s="270">
        <f t="shared" ref="J9:J18" si="1">IF(H9=0,1,0)</f>
        <v>0</v>
      </c>
      <c r="K9" s="270">
        <v>3</v>
      </c>
      <c r="L9" s="270">
        <v>1.6</v>
      </c>
      <c r="M9" s="270">
        <v>3.5</v>
      </c>
      <c r="N9" s="270">
        <v>0.2</v>
      </c>
      <c r="O9" s="118">
        <v>0.3</v>
      </c>
      <c r="P9" s="222">
        <f t="shared" ref="P9:P30" si="2">(H9+J9)*K9*L9*M9</f>
        <v>16.800000000000004</v>
      </c>
      <c r="R9">
        <f>(K10*M10)*2</f>
        <v>4.5952000000000002</v>
      </c>
    </row>
    <row r="10" spans="1:18" ht="15.75" x14ac:dyDescent="0.25">
      <c r="A10" s="28"/>
      <c r="B10" s="118"/>
      <c r="C10" s="72"/>
      <c r="D10" s="113"/>
      <c r="E10" s="113"/>
      <c r="F10" s="27"/>
      <c r="G10" s="296" t="s">
        <v>196</v>
      </c>
      <c r="H10" s="298">
        <v>0</v>
      </c>
      <c r="I10" s="270"/>
      <c r="J10" s="299">
        <f t="shared" si="1"/>
        <v>1</v>
      </c>
      <c r="K10" s="270">
        <v>1.4359999999999999</v>
      </c>
      <c r="L10" s="270">
        <v>0.97599999999999998</v>
      </c>
      <c r="M10" s="270">
        <v>1.6</v>
      </c>
      <c r="N10" s="270"/>
      <c r="O10" s="118"/>
      <c r="P10" s="151">
        <f t="shared" si="2"/>
        <v>2.2424575999999998</v>
      </c>
    </row>
    <row r="11" spans="1:18" ht="15.75" x14ac:dyDescent="0.25">
      <c r="A11" s="28"/>
      <c r="B11" s="118"/>
      <c r="C11" s="72"/>
      <c r="D11" s="113"/>
      <c r="E11" s="113"/>
      <c r="F11" s="27"/>
      <c r="G11" s="296" t="s">
        <v>136</v>
      </c>
      <c r="H11" s="297">
        <v>1</v>
      </c>
      <c r="I11" s="270"/>
      <c r="J11" s="270">
        <f t="shared" si="1"/>
        <v>0</v>
      </c>
      <c r="K11" s="270">
        <v>2.8</v>
      </c>
      <c r="L11" s="270">
        <v>2.1</v>
      </c>
      <c r="M11" s="270">
        <v>3.5</v>
      </c>
      <c r="N11" s="270">
        <v>0.2</v>
      </c>
      <c r="O11" s="118">
        <v>0.3</v>
      </c>
      <c r="P11" s="151">
        <f t="shared" si="2"/>
        <v>20.58</v>
      </c>
    </row>
    <row r="12" spans="1:18" ht="15.75" x14ac:dyDescent="0.25">
      <c r="A12" s="28"/>
      <c r="B12" s="118">
        <v>10</v>
      </c>
      <c r="C12" s="72"/>
      <c r="D12" s="113"/>
      <c r="E12" s="113"/>
      <c r="F12" s="27"/>
      <c r="G12" s="296" t="s">
        <v>137</v>
      </c>
      <c r="H12" s="297">
        <v>1</v>
      </c>
      <c r="I12" s="270"/>
      <c r="J12" s="270">
        <f t="shared" si="1"/>
        <v>0</v>
      </c>
      <c r="K12" s="270">
        <v>2.8</v>
      </c>
      <c r="L12" s="270">
        <v>2.1</v>
      </c>
      <c r="M12" s="270">
        <v>3.5</v>
      </c>
      <c r="N12" s="270">
        <v>0.2</v>
      </c>
      <c r="O12" s="118">
        <v>0.3</v>
      </c>
      <c r="P12" s="151">
        <f t="shared" si="2"/>
        <v>20.58</v>
      </c>
    </row>
    <row r="13" spans="1:18" ht="15.75" x14ac:dyDescent="0.25">
      <c r="A13" s="28"/>
      <c r="B13" s="118">
        <v>4</v>
      </c>
      <c r="C13" s="72"/>
      <c r="D13" s="113"/>
      <c r="E13" s="113"/>
      <c r="F13" s="27"/>
      <c r="G13" s="296" t="s">
        <v>138</v>
      </c>
      <c r="H13" s="297">
        <v>1</v>
      </c>
      <c r="I13" s="270"/>
      <c r="J13" s="270">
        <f t="shared" si="1"/>
        <v>0</v>
      </c>
      <c r="K13" s="270">
        <v>2.1</v>
      </c>
      <c r="L13" s="270">
        <v>2.1</v>
      </c>
      <c r="M13" s="270">
        <v>2.8</v>
      </c>
      <c r="N13" s="270">
        <v>0.2</v>
      </c>
      <c r="O13" s="118">
        <v>0.3</v>
      </c>
      <c r="P13" s="151">
        <f t="shared" si="2"/>
        <v>12.347999999999999</v>
      </c>
    </row>
    <row r="14" spans="1:18" ht="15.75" x14ac:dyDescent="0.25">
      <c r="A14" s="28"/>
      <c r="B14" s="118">
        <v>4</v>
      </c>
      <c r="C14" s="72"/>
      <c r="D14" s="113">
        <f>6+12</f>
        <v>18</v>
      </c>
      <c r="E14" s="113"/>
      <c r="F14" s="27"/>
      <c r="G14" s="296" t="s">
        <v>139</v>
      </c>
      <c r="H14" s="297">
        <v>1</v>
      </c>
      <c r="I14" s="270"/>
      <c r="J14" s="270">
        <f t="shared" si="1"/>
        <v>0</v>
      </c>
      <c r="K14" s="270">
        <v>2.1</v>
      </c>
      <c r="L14" s="270">
        <v>2.1</v>
      </c>
      <c r="M14" s="270">
        <v>2.8</v>
      </c>
      <c r="N14" s="270">
        <v>0.2</v>
      </c>
      <c r="O14" s="118">
        <v>0.3</v>
      </c>
      <c r="P14" s="151">
        <f t="shared" si="2"/>
        <v>12.347999999999999</v>
      </c>
    </row>
    <row r="15" spans="1:18" ht="15.75" x14ac:dyDescent="0.25">
      <c r="A15" s="28"/>
      <c r="B15" s="118"/>
      <c r="C15" s="72"/>
      <c r="D15" s="113">
        <f>12+4</f>
        <v>16</v>
      </c>
      <c r="E15" s="113"/>
      <c r="F15" s="113"/>
      <c r="G15" s="300" t="s">
        <v>197</v>
      </c>
      <c r="H15" s="297">
        <v>1</v>
      </c>
      <c r="I15" s="270"/>
      <c r="J15" s="270">
        <f t="shared" si="1"/>
        <v>0</v>
      </c>
      <c r="K15" s="270">
        <v>2.1</v>
      </c>
      <c r="L15" s="270">
        <v>2.1</v>
      </c>
      <c r="M15" s="270">
        <v>2.8</v>
      </c>
      <c r="N15" s="270">
        <v>0.2</v>
      </c>
      <c r="O15" s="118">
        <v>0.3</v>
      </c>
      <c r="P15" s="151">
        <f t="shared" si="2"/>
        <v>12.347999999999999</v>
      </c>
    </row>
    <row r="16" spans="1:18" ht="15.75" x14ac:dyDescent="0.25">
      <c r="A16" s="28"/>
      <c r="B16" s="118"/>
      <c r="C16" s="72"/>
      <c r="D16" s="113"/>
      <c r="E16" s="113"/>
      <c r="F16" s="113"/>
      <c r="G16" s="300" t="s">
        <v>140</v>
      </c>
      <c r="H16" s="297">
        <v>1</v>
      </c>
      <c r="I16" s="270"/>
      <c r="J16" s="270">
        <f t="shared" si="1"/>
        <v>0</v>
      </c>
      <c r="K16" s="270">
        <v>2.1</v>
      </c>
      <c r="L16" s="270">
        <v>2.1</v>
      </c>
      <c r="M16" s="270">
        <v>2.8</v>
      </c>
      <c r="N16" s="270">
        <v>0.2</v>
      </c>
      <c r="O16" s="118">
        <v>0.3</v>
      </c>
      <c r="P16" s="151">
        <f t="shared" si="2"/>
        <v>12.347999999999999</v>
      </c>
    </row>
    <row r="17" spans="1:16" ht="15.75" x14ac:dyDescent="0.25">
      <c r="A17" s="28"/>
      <c r="B17" s="118"/>
      <c r="C17" s="72"/>
      <c r="D17" s="113"/>
      <c r="E17" s="113"/>
      <c r="F17" s="27"/>
      <c r="G17" s="291" t="s">
        <v>198</v>
      </c>
      <c r="H17" s="295">
        <v>1</v>
      </c>
      <c r="J17">
        <f t="shared" si="1"/>
        <v>0</v>
      </c>
      <c r="K17">
        <v>2.1</v>
      </c>
      <c r="L17">
        <v>2.1</v>
      </c>
      <c r="M17">
        <v>2.8</v>
      </c>
      <c r="N17">
        <v>0.2</v>
      </c>
      <c r="O17" s="294">
        <v>0.3</v>
      </c>
      <c r="P17" s="151">
        <f t="shared" si="2"/>
        <v>12.347999999999999</v>
      </c>
    </row>
    <row r="18" spans="1:16" ht="15.75" x14ac:dyDescent="0.25">
      <c r="A18" s="28"/>
      <c r="B18" s="118"/>
      <c r="C18" s="72"/>
      <c r="D18" s="113"/>
      <c r="E18" s="113"/>
      <c r="F18" s="113"/>
      <c r="G18" s="300" t="s">
        <v>199</v>
      </c>
      <c r="H18" s="297">
        <v>1</v>
      </c>
      <c r="I18" s="270"/>
      <c r="J18" s="270">
        <f t="shared" si="1"/>
        <v>0</v>
      </c>
      <c r="K18" s="270">
        <v>2.1</v>
      </c>
      <c r="L18" s="270">
        <v>2.1</v>
      </c>
      <c r="M18" s="270">
        <v>2.8</v>
      </c>
      <c r="N18" s="270">
        <v>0.2</v>
      </c>
      <c r="O18" s="118">
        <v>0.3</v>
      </c>
      <c r="P18" s="151">
        <f t="shared" si="2"/>
        <v>12.347999999999999</v>
      </c>
    </row>
    <row r="19" spans="1:16" ht="15.75" x14ac:dyDescent="0.25">
      <c r="A19" s="28"/>
      <c r="B19" s="118"/>
      <c r="C19" s="72"/>
      <c r="D19" s="113"/>
      <c r="E19" s="113"/>
      <c r="F19" s="113"/>
      <c r="G19" s="300" t="s">
        <v>200</v>
      </c>
      <c r="H19" s="297">
        <v>1</v>
      </c>
      <c r="I19" s="270"/>
      <c r="J19" s="270">
        <f>IF(H19=0,1,0)</f>
        <v>0</v>
      </c>
      <c r="K19" s="270">
        <v>2.1</v>
      </c>
      <c r="L19" s="270">
        <v>2.1</v>
      </c>
      <c r="M19" s="270">
        <v>2.8</v>
      </c>
      <c r="N19" s="270">
        <v>0.2</v>
      </c>
      <c r="O19" s="118">
        <v>0.3</v>
      </c>
      <c r="P19" s="151">
        <f t="shared" si="2"/>
        <v>12.347999999999999</v>
      </c>
    </row>
    <row r="20" spans="1:16" ht="15.75" x14ac:dyDescent="0.25">
      <c r="A20" s="28"/>
      <c r="B20" s="118"/>
      <c r="C20" s="72"/>
      <c r="D20" s="113"/>
      <c r="E20" s="113"/>
      <c r="F20" s="113"/>
      <c r="G20" s="300" t="s">
        <v>201</v>
      </c>
      <c r="H20" s="297">
        <v>1</v>
      </c>
      <c r="I20" s="270"/>
      <c r="J20" s="270">
        <f>IF(H20=0,1,0)</f>
        <v>0</v>
      </c>
      <c r="K20" s="270">
        <v>3.5</v>
      </c>
      <c r="L20" s="270">
        <v>2.2999999999999998</v>
      </c>
      <c r="M20" s="270">
        <v>3.5</v>
      </c>
      <c r="N20" s="270">
        <v>0.35</v>
      </c>
      <c r="O20" s="118">
        <v>0.3</v>
      </c>
      <c r="P20" s="151">
        <f t="shared" si="2"/>
        <v>28.174999999999997</v>
      </c>
    </row>
    <row r="21" spans="1:16" ht="15.75" x14ac:dyDescent="0.25">
      <c r="A21" s="28"/>
      <c r="B21" s="118">
        <f>4+4</f>
        <v>8</v>
      </c>
      <c r="C21" s="72"/>
      <c r="D21" s="113"/>
      <c r="E21" s="113"/>
      <c r="F21" s="113"/>
      <c r="G21" s="300" t="s">
        <v>202</v>
      </c>
      <c r="H21" s="297">
        <v>1</v>
      </c>
      <c r="I21" s="270"/>
      <c r="J21" s="270">
        <f t="shared" ref="J21:J56" si="3">IF(H21=0,1,0)</f>
        <v>0</v>
      </c>
      <c r="K21" s="270">
        <v>2</v>
      </c>
      <c r="L21" s="270">
        <v>2</v>
      </c>
      <c r="M21" s="270">
        <v>2.8</v>
      </c>
      <c r="N21" s="270">
        <v>0.2</v>
      </c>
      <c r="O21" s="118">
        <v>0.35</v>
      </c>
      <c r="P21" s="151">
        <f t="shared" si="2"/>
        <v>11.2</v>
      </c>
    </row>
    <row r="22" spans="1:16" ht="15.75" x14ac:dyDescent="0.25">
      <c r="A22" s="28"/>
      <c r="B22" s="118"/>
      <c r="C22" s="72"/>
      <c r="D22" s="113"/>
      <c r="E22" s="113"/>
      <c r="F22" s="113"/>
      <c r="G22" s="300" t="s">
        <v>292</v>
      </c>
      <c r="H22" s="301">
        <v>0</v>
      </c>
      <c r="I22" s="270"/>
      <c r="J22" s="299">
        <f t="shared" si="3"/>
        <v>1</v>
      </c>
      <c r="K22" s="270">
        <v>1.4359999999999999</v>
      </c>
      <c r="L22" s="270">
        <v>0.97599999999999998</v>
      </c>
      <c r="M22" s="270">
        <v>1.35</v>
      </c>
      <c r="N22" s="270"/>
      <c r="O22" s="118"/>
      <c r="P22" s="151">
        <f t="shared" si="2"/>
        <v>1.8920736</v>
      </c>
    </row>
    <row r="23" spans="1:16" ht="15.75" x14ac:dyDescent="0.25">
      <c r="A23" s="28"/>
      <c r="B23" s="118">
        <f>4+4+4+4</f>
        <v>16</v>
      </c>
      <c r="C23" s="72"/>
      <c r="D23" s="113">
        <v>8</v>
      </c>
      <c r="E23" s="113"/>
      <c r="F23" s="113"/>
      <c r="G23" s="300" t="s">
        <v>176</v>
      </c>
      <c r="H23" s="297">
        <v>1</v>
      </c>
      <c r="I23" s="270"/>
      <c r="J23" s="270">
        <f t="shared" si="3"/>
        <v>0</v>
      </c>
      <c r="K23" s="270">
        <v>2.85</v>
      </c>
      <c r="L23" s="270">
        <v>1.9</v>
      </c>
      <c r="M23" s="270">
        <v>2.8</v>
      </c>
      <c r="N23" s="270">
        <v>0.2</v>
      </c>
      <c r="O23" s="118">
        <v>0.35</v>
      </c>
      <c r="P23" s="151">
        <f t="shared" si="2"/>
        <v>15.161999999999999</v>
      </c>
    </row>
    <row r="24" spans="1:16" ht="15.75" x14ac:dyDescent="0.25">
      <c r="A24" s="28"/>
      <c r="B24" s="118">
        <f>4+4</f>
        <v>8</v>
      </c>
      <c r="C24" s="72"/>
      <c r="D24" s="113"/>
      <c r="E24" s="113"/>
      <c r="F24" s="113"/>
      <c r="G24" s="300" t="s">
        <v>203</v>
      </c>
      <c r="H24" s="297">
        <v>1</v>
      </c>
      <c r="I24" s="270"/>
      <c r="J24" s="270">
        <f t="shared" si="3"/>
        <v>0</v>
      </c>
      <c r="K24" s="270">
        <v>2.8</v>
      </c>
      <c r="L24" s="270">
        <v>2.5</v>
      </c>
      <c r="M24" s="270">
        <v>3.5</v>
      </c>
      <c r="N24" s="270">
        <v>0.2</v>
      </c>
      <c r="O24" s="118">
        <v>0.35</v>
      </c>
      <c r="P24" s="151">
        <f t="shared" si="2"/>
        <v>24.5</v>
      </c>
    </row>
    <row r="25" spans="1:16" ht="15.75" x14ac:dyDescent="0.25">
      <c r="A25" s="28"/>
      <c r="B25" s="118">
        <v>8</v>
      </c>
      <c r="C25" s="72"/>
      <c r="D25" s="113"/>
      <c r="E25" s="113"/>
      <c r="F25" s="113"/>
      <c r="G25" s="300" t="s">
        <v>204</v>
      </c>
      <c r="H25" s="298">
        <v>0</v>
      </c>
      <c r="I25" s="270"/>
      <c r="J25" s="299">
        <f t="shared" si="3"/>
        <v>1</v>
      </c>
      <c r="K25" s="270">
        <v>1.4359999999999999</v>
      </c>
      <c r="L25" s="270">
        <v>0.97599999999999998</v>
      </c>
      <c r="M25" s="270">
        <v>1.35</v>
      </c>
      <c r="N25" s="270"/>
      <c r="O25" s="118"/>
      <c r="P25" s="151">
        <f t="shared" si="2"/>
        <v>1.8920736</v>
      </c>
    </row>
    <row r="26" spans="1:16" ht="15.75" x14ac:dyDescent="0.25">
      <c r="A26" s="28"/>
      <c r="B26" s="118"/>
      <c r="C26" s="72"/>
      <c r="D26" s="113"/>
      <c r="E26" s="113"/>
      <c r="F26" s="113"/>
      <c r="G26" s="300" t="s">
        <v>294</v>
      </c>
      <c r="H26" s="298">
        <v>0</v>
      </c>
      <c r="I26" s="270"/>
      <c r="J26" s="299">
        <f t="shared" si="3"/>
        <v>1</v>
      </c>
      <c r="K26" s="270">
        <v>1.4359999999999999</v>
      </c>
      <c r="L26" s="270">
        <v>0.97599999999999998</v>
      </c>
      <c r="M26" s="270">
        <v>1.35</v>
      </c>
      <c r="N26" s="270"/>
      <c r="O26" s="118"/>
      <c r="P26" s="151">
        <f t="shared" si="2"/>
        <v>1.8920736</v>
      </c>
    </row>
    <row r="27" spans="1:16" ht="15.75" x14ac:dyDescent="0.25">
      <c r="A27" s="28"/>
      <c r="B27" s="118">
        <f>4+8+4</f>
        <v>16</v>
      </c>
      <c r="C27" s="72"/>
      <c r="D27" s="113"/>
      <c r="E27" s="113"/>
      <c r="F27" s="113"/>
      <c r="G27" s="300" t="s">
        <v>205</v>
      </c>
      <c r="H27" s="297">
        <v>1</v>
      </c>
      <c r="I27" s="270"/>
      <c r="J27" s="270">
        <f t="shared" si="3"/>
        <v>0</v>
      </c>
      <c r="K27" s="270">
        <v>2.6</v>
      </c>
      <c r="L27" s="270">
        <v>2.1</v>
      </c>
      <c r="M27" s="270">
        <v>3.5</v>
      </c>
      <c r="N27" s="270">
        <v>0.2</v>
      </c>
      <c r="O27" s="118">
        <v>0.35</v>
      </c>
      <c r="P27" s="151">
        <f t="shared" si="2"/>
        <v>19.110000000000003</v>
      </c>
    </row>
    <row r="28" spans="1:16" ht="15.75" x14ac:dyDescent="0.25">
      <c r="A28" s="28"/>
      <c r="B28" s="118">
        <f>4+4+4</f>
        <v>12</v>
      </c>
      <c r="C28" s="72"/>
      <c r="D28" s="113"/>
      <c r="E28" s="113"/>
      <c r="F28" s="113"/>
      <c r="G28" s="300" t="s">
        <v>206</v>
      </c>
      <c r="H28" s="298">
        <v>0</v>
      </c>
      <c r="I28" s="270"/>
      <c r="J28" s="299">
        <f t="shared" si="3"/>
        <v>1</v>
      </c>
      <c r="K28" s="270">
        <v>1.4359999999999999</v>
      </c>
      <c r="L28" s="270">
        <v>0.97599999999999998</v>
      </c>
      <c r="M28" s="270">
        <v>1.35</v>
      </c>
      <c r="N28" s="270"/>
      <c r="O28" s="118"/>
      <c r="P28" s="151">
        <f t="shared" si="2"/>
        <v>1.8920736</v>
      </c>
    </row>
    <row r="29" spans="1:16" ht="15.75" x14ac:dyDescent="0.25">
      <c r="A29" s="28"/>
      <c r="B29" s="118"/>
      <c r="C29" s="72"/>
      <c r="D29" s="113"/>
      <c r="E29" s="113"/>
      <c r="F29" s="113"/>
      <c r="G29" s="300" t="s">
        <v>293</v>
      </c>
      <c r="H29" s="298">
        <v>0</v>
      </c>
      <c r="I29" s="270"/>
      <c r="J29" s="299">
        <f t="shared" si="3"/>
        <v>1</v>
      </c>
      <c r="K29" s="270">
        <v>1.4359999999999999</v>
      </c>
      <c r="L29" s="270">
        <v>0.97599999999999998</v>
      </c>
      <c r="M29" s="270">
        <v>1.35</v>
      </c>
      <c r="N29" s="270"/>
      <c r="O29" s="118"/>
      <c r="P29" s="151">
        <f t="shared" si="2"/>
        <v>1.8920736</v>
      </c>
    </row>
    <row r="30" spans="1:16" ht="15.75" x14ac:dyDescent="0.25">
      <c r="A30" s="28"/>
      <c r="B30" s="118">
        <f>3*4+4</f>
        <v>16</v>
      </c>
      <c r="C30" s="72"/>
      <c r="D30" s="113"/>
      <c r="E30" s="113"/>
      <c r="F30" s="113"/>
      <c r="G30" s="300" t="s">
        <v>207</v>
      </c>
      <c r="H30" s="297">
        <v>1</v>
      </c>
      <c r="I30" s="270"/>
      <c r="J30" s="270">
        <f t="shared" si="3"/>
        <v>0</v>
      </c>
      <c r="K30" s="270">
        <v>2.6</v>
      </c>
      <c r="L30" s="270">
        <v>2.1</v>
      </c>
      <c r="M30" s="270">
        <v>3.5</v>
      </c>
      <c r="N30" s="270">
        <v>0.2</v>
      </c>
      <c r="O30" s="118">
        <v>0.35</v>
      </c>
      <c r="P30" s="151">
        <f t="shared" si="2"/>
        <v>19.110000000000003</v>
      </c>
    </row>
    <row r="31" spans="1:16" ht="15.75" x14ac:dyDescent="0.25">
      <c r="A31" s="28"/>
      <c r="B31" s="118">
        <v>4</v>
      </c>
      <c r="C31" s="72"/>
      <c r="D31" s="113"/>
      <c r="E31" s="113"/>
      <c r="F31" s="113"/>
      <c r="G31" s="300" t="s">
        <v>208</v>
      </c>
      <c r="H31" s="298">
        <v>0</v>
      </c>
      <c r="I31" s="270"/>
      <c r="J31" s="299">
        <f t="shared" si="3"/>
        <v>1</v>
      </c>
      <c r="K31" s="270">
        <v>1.4359999999999999</v>
      </c>
      <c r="L31" s="270">
        <v>0.97599999999999998</v>
      </c>
      <c r="M31" s="270">
        <v>1.35</v>
      </c>
      <c r="N31" s="270"/>
      <c r="O31" s="118"/>
      <c r="P31" s="151">
        <f>(H30+J30)*K30*L30*M30</f>
        <v>19.110000000000003</v>
      </c>
    </row>
    <row r="32" spans="1:16" ht="15.75" x14ac:dyDescent="0.25">
      <c r="A32" s="28"/>
      <c r="B32" s="118"/>
      <c r="C32" s="72"/>
      <c r="D32" s="113"/>
      <c r="E32" s="113"/>
      <c r="F32" s="113"/>
      <c r="G32" s="300" t="s">
        <v>295</v>
      </c>
      <c r="H32" s="298">
        <v>0</v>
      </c>
      <c r="I32" s="270"/>
      <c r="J32" s="299">
        <f t="shared" si="3"/>
        <v>1</v>
      </c>
      <c r="K32" s="270">
        <v>1.4359999999999999</v>
      </c>
      <c r="L32" s="270">
        <v>0.97599999999999998</v>
      </c>
      <c r="M32" s="270">
        <v>1.35</v>
      </c>
      <c r="N32" s="270"/>
      <c r="O32" s="118"/>
      <c r="P32" s="151">
        <f>(H31+J31)*K31*L31*M31</f>
        <v>1.8920736</v>
      </c>
    </row>
    <row r="33" spans="1:16" ht="15.75" x14ac:dyDescent="0.25">
      <c r="A33" s="28"/>
      <c r="B33" s="118">
        <f>4+6</f>
        <v>10</v>
      </c>
      <c r="C33" s="72"/>
      <c r="D33" s="113"/>
      <c r="E33" s="113"/>
      <c r="F33" s="113"/>
      <c r="G33" s="300" t="s">
        <v>141</v>
      </c>
      <c r="H33" s="297">
        <v>1</v>
      </c>
      <c r="I33" s="270"/>
      <c r="J33" s="270">
        <f t="shared" si="3"/>
        <v>0</v>
      </c>
      <c r="K33" s="270">
        <v>2.8</v>
      </c>
      <c r="L33" s="270">
        <v>2.1</v>
      </c>
      <c r="M33" s="270">
        <v>3.5</v>
      </c>
      <c r="N33" s="270">
        <v>0.2</v>
      </c>
      <c r="O33" s="118">
        <v>0.35</v>
      </c>
      <c r="P33" s="192">
        <f t="shared" ref="P33:P56" si="4">(H33+J33)*K33*L33*M33</f>
        <v>20.58</v>
      </c>
    </row>
    <row r="34" spans="1:16" ht="15.75" x14ac:dyDescent="0.25">
      <c r="A34" s="28"/>
      <c r="B34" s="118">
        <v>4</v>
      </c>
      <c r="C34" s="72"/>
      <c r="D34" s="113"/>
      <c r="E34" s="113"/>
      <c r="F34" s="113"/>
      <c r="G34" s="300" t="s">
        <v>142</v>
      </c>
      <c r="H34" s="297">
        <v>1</v>
      </c>
      <c r="I34" s="270"/>
      <c r="J34" s="270">
        <f t="shared" si="3"/>
        <v>0</v>
      </c>
      <c r="K34" s="270">
        <v>2.1</v>
      </c>
      <c r="L34" s="270">
        <v>2</v>
      </c>
      <c r="M34" s="270">
        <v>3.5</v>
      </c>
      <c r="N34" s="270">
        <v>0.2</v>
      </c>
      <c r="O34" s="118">
        <v>0.35</v>
      </c>
      <c r="P34" s="151">
        <f t="shared" si="4"/>
        <v>14.700000000000001</v>
      </c>
    </row>
    <row r="35" spans="1:16" ht="15.75" x14ac:dyDescent="0.25">
      <c r="A35" s="28"/>
      <c r="B35" s="118"/>
      <c r="C35" s="72"/>
      <c r="D35" s="113"/>
      <c r="E35" s="113"/>
      <c r="F35" s="113"/>
      <c r="G35" s="300" t="s">
        <v>143</v>
      </c>
      <c r="H35" s="298">
        <v>0</v>
      </c>
      <c r="I35" s="270"/>
      <c r="J35" s="299">
        <f t="shared" si="3"/>
        <v>1</v>
      </c>
      <c r="K35" s="270">
        <v>2.0299999999999998</v>
      </c>
      <c r="L35" s="270">
        <v>1.3260000000000001</v>
      </c>
      <c r="M35" s="270">
        <v>1.35</v>
      </c>
      <c r="N35" s="270"/>
      <c r="O35" s="118"/>
      <c r="P35" s="192">
        <f t="shared" si="4"/>
        <v>3.6339030000000001</v>
      </c>
    </row>
    <row r="36" spans="1:16" ht="15.75" x14ac:dyDescent="0.25">
      <c r="A36" s="28"/>
      <c r="B36" s="118"/>
      <c r="C36" s="72"/>
      <c r="D36" s="113"/>
      <c r="E36" s="113"/>
      <c r="F36" s="113">
        <v>4</v>
      </c>
      <c r="G36" s="300" t="s">
        <v>144</v>
      </c>
      <c r="H36" s="297">
        <v>1</v>
      </c>
      <c r="I36" s="270"/>
      <c r="J36" s="270">
        <f t="shared" si="3"/>
        <v>0</v>
      </c>
      <c r="K36" s="270">
        <v>2.1</v>
      </c>
      <c r="L36" s="270">
        <v>2.1</v>
      </c>
      <c r="M36" s="270">
        <v>2.8</v>
      </c>
      <c r="N36" s="270">
        <v>0.2</v>
      </c>
      <c r="O36" s="118">
        <v>0.35</v>
      </c>
      <c r="P36" s="151">
        <f t="shared" si="4"/>
        <v>12.347999999999999</v>
      </c>
    </row>
    <row r="37" spans="1:16" ht="15.75" x14ac:dyDescent="0.25">
      <c r="A37" s="28"/>
      <c r="B37" s="118"/>
      <c r="C37" s="72"/>
      <c r="D37" s="113"/>
      <c r="E37" s="113"/>
      <c r="F37" s="113"/>
      <c r="G37" s="300" t="s">
        <v>145</v>
      </c>
      <c r="H37" s="297">
        <v>1</v>
      </c>
      <c r="I37" s="270"/>
      <c r="J37" s="270">
        <f t="shared" si="3"/>
        <v>0</v>
      </c>
      <c r="K37" s="270">
        <v>2.1</v>
      </c>
      <c r="L37" s="270">
        <v>2.1</v>
      </c>
      <c r="M37" s="270">
        <v>2.8</v>
      </c>
      <c r="N37" s="270">
        <v>0.2</v>
      </c>
      <c r="O37" s="118">
        <v>0.35</v>
      </c>
      <c r="P37" s="151">
        <f t="shared" si="4"/>
        <v>12.347999999999999</v>
      </c>
    </row>
    <row r="38" spans="1:16" ht="15.75" x14ac:dyDescent="0.25">
      <c r="A38" s="28"/>
      <c r="B38" s="118"/>
      <c r="C38" s="72"/>
      <c r="D38" s="113"/>
      <c r="E38" s="113"/>
      <c r="F38" s="113"/>
      <c r="G38" s="300" t="s">
        <v>146</v>
      </c>
      <c r="H38" s="297">
        <v>1</v>
      </c>
      <c r="I38" s="270"/>
      <c r="J38" s="270">
        <f t="shared" si="3"/>
        <v>0</v>
      </c>
      <c r="K38" s="270">
        <v>2.1</v>
      </c>
      <c r="L38" s="270">
        <v>2.1</v>
      </c>
      <c r="M38" s="270">
        <v>2.8</v>
      </c>
      <c r="N38" s="270">
        <v>0.2</v>
      </c>
      <c r="O38" s="118">
        <v>0.35</v>
      </c>
      <c r="P38" s="151">
        <f t="shared" si="4"/>
        <v>12.347999999999999</v>
      </c>
    </row>
    <row r="39" spans="1:16" ht="15.75" x14ac:dyDescent="0.25">
      <c r="A39" s="28"/>
      <c r="B39" s="118"/>
      <c r="C39" s="72"/>
      <c r="D39" s="113"/>
      <c r="E39" s="113"/>
      <c r="F39" s="113"/>
      <c r="G39" s="300" t="s">
        <v>147</v>
      </c>
      <c r="H39" s="297">
        <v>1</v>
      </c>
      <c r="I39" s="270"/>
      <c r="J39" s="270">
        <f t="shared" si="3"/>
        <v>0</v>
      </c>
      <c r="K39" s="270">
        <v>2.1</v>
      </c>
      <c r="L39" s="270">
        <v>2.1</v>
      </c>
      <c r="M39" s="270">
        <v>2.8</v>
      </c>
      <c r="N39" s="270">
        <v>0.2</v>
      </c>
      <c r="O39" s="118">
        <v>0.35</v>
      </c>
      <c r="P39" s="151">
        <f t="shared" si="4"/>
        <v>12.347999999999999</v>
      </c>
    </row>
    <row r="40" spans="1:16" ht="15.75" x14ac:dyDescent="0.25">
      <c r="A40" s="28"/>
      <c r="B40" s="118">
        <f>4+4+2</f>
        <v>10</v>
      </c>
      <c r="C40" s="72"/>
      <c r="D40" s="113"/>
      <c r="E40" s="113"/>
      <c r="F40" s="113"/>
      <c r="G40" s="300" t="s">
        <v>148</v>
      </c>
      <c r="H40" s="297">
        <v>1</v>
      </c>
      <c r="I40" s="270"/>
      <c r="J40" s="270">
        <f t="shared" si="3"/>
        <v>0</v>
      </c>
      <c r="K40" s="270">
        <v>2.1</v>
      </c>
      <c r="L40" s="270">
        <v>2.1</v>
      </c>
      <c r="M40" s="270">
        <v>2.8</v>
      </c>
      <c r="N40" s="270">
        <v>0.2</v>
      </c>
      <c r="O40" s="118">
        <v>0.35</v>
      </c>
      <c r="P40" s="151">
        <f t="shared" si="4"/>
        <v>12.347999999999999</v>
      </c>
    </row>
    <row r="41" spans="1:16" ht="15.75" x14ac:dyDescent="0.25">
      <c r="A41" s="28"/>
      <c r="B41" s="118">
        <f>4+2</f>
        <v>6</v>
      </c>
      <c r="C41" s="72"/>
      <c r="D41" s="113"/>
      <c r="E41" s="113"/>
      <c r="F41" s="113"/>
      <c r="G41" s="300" t="s">
        <v>149</v>
      </c>
      <c r="H41" s="297">
        <v>1</v>
      </c>
      <c r="I41" s="270"/>
      <c r="J41" s="270">
        <f t="shared" si="3"/>
        <v>0</v>
      </c>
      <c r="K41" s="270">
        <v>2.5</v>
      </c>
      <c r="L41" s="270">
        <v>2.1</v>
      </c>
      <c r="M41" s="270">
        <v>2.8</v>
      </c>
      <c r="N41" s="270">
        <v>0.2</v>
      </c>
      <c r="O41" s="118">
        <v>0.35</v>
      </c>
      <c r="P41" s="151">
        <f t="shared" si="4"/>
        <v>14.7</v>
      </c>
    </row>
    <row r="42" spans="1:16" ht="15.75" x14ac:dyDescent="0.25">
      <c r="A42" s="28"/>
      <c r="B42" s="118"/>
      <c r="C42" s="72"/>
      <c r="D42" s="113"/>
      <c r="E42" s="113"/>
      <c r="F42" s="113"/>
      <c r="G42" s="300" t="s">
        <v>150</v>
      </c>
      <c r="H42" s="297">
        <v>1</v>
      </c>
      <c r="I42" s="270"/>
      <c r="J42" s="270">
        <f t="shared" si="3"/>
        <v>0</v>
      </c>
      <c r="K42" s="270">
        <v>2.5</v>
      </c>
      <c r="L42" s="270">
        <v>2.1</v>
      </c>
      <c r="M42" s="270">
        <v>2.8</v>
      </c>
      <c r="N42" s="270">
        <v>0.2</v>
      </c>
      <c r="O42" s="118">
        <v>0.35</v>
      </c>
      <c r="P42" s="192">
        <f t="shared" si="4"/>
        <v>14.7</v>
      </c>
    </row>
    <row r="43" spans="1:16" ht="15.75" x14ac:dyDescent="0.25">
      <c r="A43" s="28"/>
      <c r="B43" s="118">
        <f>6+4</f>
        <v>10</v>
      </c>
      <c r="C43" s="72"/>
      <c r="D43" s="113"/>
      <c r="E43" s="113"/>
      <c r="F43" s="113"/>
      <c r="G43" s="300" t="s">
        <v>151</v>
      </c>
      <c r="H43" s="297">
        <v>1</v>
      </c>
      <c r="I43" s="270"/>
      <c r="J43" s="270">
        <f t="shared" si="3"/>
        <v>0</v>
      </c>
      <c r="K43" s="270">
        <v>2.5</v>
      </c>
      <c r="L43" s="270">
        <v>2.1</v>
      </c>
      <c r="M43" s="270">
        <v>2.8</v>
      </c>
      <c r="N43" s="270">
        <v>0.2</v>
      </c>
      <c r="O43" s="118">
        <v>0.35</v>
      </c>
      <c r="P43" s="151">
        <f t="shared" si="4"/>
        <v>14.7</v>
      </c>
    </row>
    <row r="44" spans="1:16" ht="15.75" x14ac:dyDescent="0.25">
      <c r="A44" s="28"/>
      <c r="B44" s="118"/>
      <c r="C44" s="72"/>
      <c r="D44" s="113"/>
      <c r="E44" s="113"/>
      <c r="F44" s="113"/>
      <c r="G44" s="300" t="s">
        <v>152</v>
      </c>
      <c r="H44" s="298">
        <v>0</v>
      </c>
      <c r="I44" s="270"/>
      <c r="J44" s="299">
        <f t="shared" si="3"/>
        <v>1</v>
      </c>
      <c r="K44" s="270">
        <v>1.4359999999999999</v>
      </c>
      <c r="L44" s="270">
        <v>0.97599999999999998</v>
      </c>
      <c r="M44" s="270">
        <v>1.35</v>
      </c>
      <c r="N44" s="270"/>
      <c r="O44" s="118"/>
      <c r="P44" s="151">
        <f t="shared" si="4"/>
        <v>1.8920736</v>
      </c>
    </row>
    <row r="45" spans="1:16" ht="15.75" x14ac:dyDescent="0.25">
      <c r="A45" s="28"/>
      <c r="B45" s="118">
        <v>4</v>
      </c>
      <c r="C45" s="72"/>
      <c r="D45" s="113"/>
      <c r="E45" s="113"/>
      <c r="F45" s="113"/>
      <c r="G45" s="300" t="s">
        <v>153</v>
      </c>
      <c r="H45" s="298">
        <v>0</v>
      </c>
      <c r="I45" s="270"/>
      <c r="J45" s="299">
        <f t="shared" si="3"/>
        <v>1</v>
      </c>
      <c r="K45" s="270">
        <v>1.4359999999999999</v>
      </c>
      <c r="L45" s="270">
        <v>0.97599999999999998</v>
      </c>
      <c r="M45" s="270">
        <v>1.35</v>
      </c>
      <c r="N45" s="270"/>
      <c r="O45" s="118"/>
      <c r="P45" s="151">
        <f t="shared" si="4"/>
        <v>1.8920736</v>
      </c>
    </row>
    <row r="46" spans="1:16" ht="15.75" x14ac:dyDescent="0.25">
      <c r="A46" s="28"/>
      <c r="B46" s="118">
        <v>4</v>
      </c>
      <c r="C46" s="72"/>
      <c r="D46" s="113"/>
      <c r="E46" s="113"/>
      <c r="F46" s="113"/>
      <c r="G46" s="300" t="s">
        <v>154</v>
      </c>
      <c r="H46" s="298">
        <v>0</v>
      </c>
      <c r="I46" s="270"/>
      <c r="J46" s="299">
        <f t="shared" si="3"/>
        <v>1</v>
      </c>
      <c r="K46" s="270">
        <v>1.4359999999999999</v>
      </c>
      <c r="L46" s="270">
        <v>0.97599999999999998</v>
      </c>
      <c r="M46" s="270">
        <v>1.35</v>
      </c>
      <c r="N46" s="270"/>
      <c r="O46" s="118"/>
      <c r="P46" s="151">
        <f t="shared" si="4"/>
        <v>1.8920736</v>
      </c>
    </row>
    <row r="47" spans="1:16" ht="15.75" x14ac:dyDescent="0.25">
      <c r="A47" s="28"/>
      <c r="B47" s="118">
        <v>4</v>
      </c>
      <c r="C47" s="72"/>
      <c r="D47" s="113"/>
      <c r="E47" s="113"/>
      <c r="F47" s="113"/>
      <c r="G47" s="300" t="s">
        <v>209</v>
      </c>
      <c r="H47" s="297">
        <v>1</v>
      </c>
      <c r="I47" s="270"/>
      <c r="J47" s="270">
        <f t="shared" si="3"/>
        <v>0</v>
      </c>
      <c r="K47" s="270">
        <v>2.5</v>
      </c>
      <c r="L47" s="270">
        <v>2.1</v>
      </c>
      <c r="M47" s="270">
        <v>2.8</v>
      </c>
      <c r="N47" s="270">
        <v>0.2</v>
      </c>
      <c r="O47" s="118">
        <v>0.35</v>
      </c>
      <c r="P47" s="151">
        <f t="shared" si="4"/>
        <v>14.7</v>
      </c>
    </row>
    <row r="48" spans="1:16" ht="15.75" x14ac:dyDescent="0.25">
      <c r="A48" s="28"/>
      <c r="B48" s="118">
        <v>4</v>
      </c>
      <c r="C48" s="72"/>
      <c r="D48" s="113"/>
      <c r="E48" s="113"/>
      <c r="F48" s="113"/>
      <c r="G48" s="300" t="s">
        <v>210</v>
      </c>
      <c r="H48" s="297">
        <v>1</v>
      </c>
      <c r="I48" s="270"/>
      <c r="J48" s="270">
        <f t="shared" si="3"/>
        <v>0</v>
      </c>
      <c r="K48" s="270">
        <v>2.1</v>
      </c>
      <c r="L48" s="270">
        <v>2.1</v>
      </c>
      <c r="M48" s="270">
        <v>2.8</v>
      </c>
      <c r="N48" s="270">
        <v>0.2</v>
      </c>
      <c r="O48" s="118">
        <v>0.35</v>
      </c>
      <c r="P48" s="192">
        <f t="shared" si="4"/>
        <v>12.347999999999999</v>
      </c>
    </row>
    <row r="49" spans="1:16" ht="15.75" x14ac:dyDescent="0.25">
      <c r="A49" s="28"/>
      <c r="B49" s="118"/>
      <c r="C49" s="72"/>
      <c r="D49" s="113"/>
      <c r="E49" s="113"/>
      <c r="F49" s="27"/>
      <c r="G49" s="291" t="s">
        <v>211</v>
      </c>
      <c r="H49" s="292">
        <v>0</v>
      </c>
      <c r="J49" s="293">
        <f t="shared" si="3"/>
        <v>1</v>
      </c>
      <c r="K49">
        <v>1.4359999999999999</v>
      </c>
      <c r="L49">
        <v>0.97599999999999998</v>
      </c>
      <c r="M49">
        <v>1.35</v>
      </c>
      <c r="O49" s="294"/>
      <c r="P49" s="151">
        <f t="shared" si="4"/>
        <v>1.8920736</v>
      </c>
    </row>
    <row r="50" spans="1:16" ht="15.75" x14ac:dyDescent="0.25">
      <c r="A50" s="28"/>
      <c r="B50" s="118"/>
      <c r="C50" s="72"/>
      <c r="D50" s="113"/>
      <c r="E50" s="113"/>
      <c r="F50" s="113"/>
      <c r="G50" s="300" t="s">
        <v>212</v>
      </c>
      <c r="H50" s="298">
        <v>0</v>
      </c>
      <c r="I50" s="270"/>
      <c r="J50" s="299">
        <f t="shared" si="3"/>
        <v>1</v>
      </c>
      <c r="K50" s="270">
        <v>1.6259999999999999</v>
      </c>
      <c r="L50" s="270">
        <v>0.876</v>
      </c>
      <c r="M50" s="270">
        <v>1.35</v>
      </c>
      <c r="N50" s="270"/>
      <c r="O50" s="118"/>
      <c r="P50" s="151">
        <f t="shared" si="4"/>
        <v>1.9229076000000001</v>
      </c>
    </row>
    <row r="51" spans="1:16" ht="15.75" x14ac:dyDescent="0.25">
      <c r="A51" s="28"/>
      <c r="B51" s="118"/>
      <c r="C51" s="72"/>
      <c r="D51" s="113"/>
      <c r="E51" s="113"/>
      <c r="F51" s="113"/>
      <c r="G51" s="300" t="s">
        <v>213</v>
      </c>
      <c r="H51" s="298">
        <v>0</v>
      </c>
      <c r="I51" s="270"/>
      <c r="J51" s="299">
        <f t="shared" si="3"/>
        <v>1</v>
      </c>
      <c r="K51" s="270">
        <v>1.4359999999999999</v>
      </c>
      <c r="L51" s="270">
        <v>0.97599999999999998</v>
      </c>
      <c r="M51" s="270">
        <v>1.35</v>
      </c>
      <c r="N51" s="270"/>
      <c r="O51" s="118"/>
      <c r="P51" s="151">
        <f t="shared" si="4"/>
        <v>1.8920736</v>
      </c>
    </row>
    <row r="52" spans="1:16" ht="15.75" x14ac:dyDescent="0.25">
      <c r="A52" s="28"/>
      <c r="B52" s="118"/>
      <c r="C52" s="72"/>
      <c r="D52" s="113"/>
      <c r="E52" s="113"/>
      <c r="F52" s="113"/>
      <c r="G52" s="300" t="s">
        <v>214</v>
      </c>
      <c r="H52" s="297">
        <v>1</v>
      </c>
      <c r="I52" s="270"/>
      <c r="J52" s="270">
        <f t="shared" si="3"/>
        <v>0</v>
      </c>
      <c r="K52" s="270">
        <v>3</v>
      </c>
      <c r="L52" s="270">
        <v>2.1</v>
      </c>
      <c r="M52" s="270">
        <v>3.5</v>
      </c>
      <c r="N52" s="270">
        <v>0.2</v>
      </c>
      <c r="O52" s="118">
        <v>0.35</v>
      </c>
      <c r="P52" s="151">
        <f t="shared" si="4"/>
        <v>22.050000000000004</v>
      </c>
    </row>
    <row r="53" spans="1:16" ht="15.75" x14ac:dyDescent="0.25">
      <c r="A53" s="28"/>
      <c r="B53" s="118"/>
      <c r="C53" s="72"/>
      <c r="D53" s="113"/>
      <c r="E53" s="113"/>
      <c r="F53" s="113"/>
      <c r="G53" s="300" t="s">
        <v>155</v>
      </c>
      <c r="H53" s="297">
        <v>1</v>
      </c>
      <c r="I53" s="270"/>
      <c r="J53" s="270">
        <f t="shared" si="3"/>
        <v>0</v>
      </c>
      <c r="K53" s="270">
        <v>2.5</v>
      </c>
      <c r="L53" s="270">
        <v>2</v>
      </c>
      <c r="M53" s="270">
        <v>2.8</v>
      </c>
      <c r="N53" s="270">
        <v>0.2</v>
      </c>
      <c r="O53" s="118">
        <v>0.35</v>
      </c>
      <c r="P53" s="192">
        <f t="shared" si="4"/>
        <v>14</v>
      </c>
    </row>
    <row r="54" spans="1:16" ht="15.75" x14ac:dyDescent="0.25">
      <c r="A54" s="28"/>
      <c r="B54" s="118"/>
      <c r="C54" s="72"/>
      <c r="D54" s="113"/>
      <c r="E54" s="113"/>
      <c r="F54" s="113"/>
      <c r="G54" s="300" t="s">
        <v>156</v>
      </c>
      <c r="H54" s="297">
        <v>1</v>
      </c>
      <c r="I54" s="270"/>
      <c r="J54" s="270">
        <f t="shared" si="3"/>
        <v>0</v>
      </c>
      <c r="K54" s="270">
        <v>2.5</v>
      </c>
      <c r="L54" s="270">
        <v>2</v>
      </c>
      <c r="M54" s="270">
        <v>2.8</v>
      </c>
      <c r="N54" s="270">
        <v>0.2</v>
      </c>
      <c r="O54" s="118">
        <v>0.35</v>
      </c>
      <c r="P54" s="151">
        <f t="shared" si="4"/>
        <v>14</v>
      </c>
    </row>
    <row r="55" spans="1:16" ht="15.75" x14ac:dyDescent="0.25">
      <c r="A55" s="28"/>
      <c r="B55" s="118"/>
      <c r="C55" s="72"/>
      <c r="D55" s="113"/>
      <c r="E55" s="113"/>
      <c r="F55" s="27"/>
      <c r="G55" s="291" t="s">
        <v>157</v>
      </c>
      <c r="H55" s="295">
        <v>1</v>
      </c>
      <c r="J55">
        <f t="shared" si="3"/>
        <v>0</v>
      </c>
      <c r="K55">
        <v>2.5</v>
      </c>
      <c r="L55">
        <v>2</v>
      </c>
      <c r="M55">
        <v>2.8</v>
      </c>
      <c r="N55">
        <v>0.2</v>
      </c>
      <c r="O55" s="294">
        <v>0.35</v>
      </c>
      <c r="P55" s="151">
        <f t="shared" si="4"/>
        <v>14</v>
      </c>
    </row>
    <row r="56" spans="1:16" ht="15.75" x14ac:dyDescent="0.25">
      <c r="A56" s="28"/>
      <c r="B56" s="118"/>
      <c r="C56" s="72"/>
      <c r="D56" s="113"/>
      <c r="E56" s="113"/>
      <c r="F56" s="113"/>
      <c r="G56" s="300" t="s">
        <v>246</v>
      </c>
      <c r="H56" s="297">
        <v>1</v>
      </c>
      <c r="I56" s="270"/>
      <c r="J56" s="270">
        <f t="shared" si="3"/>
        <v>0</v>
      </c>
      <c r="K56" s="270">
        <v>2.5</v>
      </c>
      <c r="L56" s="270">
        <v>2</v>
      </c>
      <c r="M56" s="270">
        <v>2.8</v>
      </c>
      <c r="N56" s="270">
        <v>0.2</v>
      </c>
      <c r="O56" s="118">
        <v>0.35</v>
      </c>
      <c r="P56" s="151">
        <f t="shared" si="4"/>
        <v>14</v>
      </c>
    </row>
  </sheetData>
  <mergeCells count="1">
    <mergeCell ref="A3:F3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Šachty</vt:lpstr>
      <vt:lpstr>Mezišachetní úsek</vt:lpstr>
      <vt:lpstr>02_Bet_meziš</vt:lpstr>
      <vt:lpstr>02_Bet_šachty</vt:lpstr>
      <vt:lpstr>List1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vlasy</dc:creator>
  <cp:lastModifiedBy>Čapek Jan</cp:lastModifiedBy>
  <cp:lastPrinted>2022-12-21T09:30:12Z</cp:lastPrinted>
  <dcterms:created xsi:type="dcterms:W3CDTF">2013-11-11T09:13:44Z</dcterms:created>
  <dcterms:modified xsi:type="dcterms:W3CDTF">2022-12-21T09:30:35Z</dcterms:modified>
</cp:coreProperties>
</file>